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J:\Finance\Budget Workpapers\BUDGET 2025\"/>
    </mc:Choice>
  </mc:AlternateContent>
  <xr:revisionPtr revIDLastSave="0" documentId="13_ncr:1_{B65F0274-03B3-4F0F-96A2-E9164D23FA68}" xr6:coauthVersionLast="47" xr6:coauthVersionMax="47" xr10:uidLastSave="{00000000-0000-0000-0000-000000000000}"/>
  <bookViews>
    <workbookView xWindow="-57720" yWindow="-120" windowWidth="29040" windowHeight="15840" tabRatio="914" xr2:uid="{C02B56DF-30DF-A14F-92E4-AE248B7435CF}"/>
  </bookViews>
  <sheets>
    <sheet name="PL" sheetId="1" r:id="rId1"/>
    <sheet name="INV" sheetId="2" r:id="rId2"/>
    <sheet name="CS PROP" sheetId="3" r:id="rId3"/>
    <sheet name="CAT PROP" sheetId="4" r:id="rId4"/>
    <sheet name="TAV" sheetId="6" r:id="rId5"/>
    <sheet name="CAT OUT" sheetId="7" r:id="rId6"/>
    <sheet name="PRES" sheetId="8" r:id="rId7"/>
    <sheet name="GC" sheetId="9" r:id="rId8"/>
    <sheet name="PEL" sheetId="10" r:id="rId9"/>
    <sheet name="ENV" sheetId="11" r:id="rId10"/>
    <sheet name="ISS" sheetId="12" r:id="rId11"/>
    <sheet name="ETHNO" sheetId="34" r:id="rId12"/>
    <sheet name="PSA" sheetId="13" r:id="rId13"/>
    <sheet name="PRIDE" sheetId="14" r:id="rId14"/>
    <sheet name="WOMENS" sheetId="15" r:id="rId15"/>
    <sheet name="MASA" sheetId="16" r:id="rId16"/>
    <sheet name="WASAC" sheetId="17" r:id="rId17"/>
    <sheet name="ALBANY" sheetId="18" r:id="rId18"/>
    <sheet name="WELLBEING" sheetId="19" r:id="rId19"/>
    <sheet name="RSD" sheetId="20" r:id="rId20"/>
    <sheet name="ACCESS" sheetId="21" r:id="rId21"/>
    <sheet name="PAC" sheetId="22" r:id="rId22"/>
    <sheet name="SOC" sheetId="23" r:id="rId23"/>
    <sheet name="EDU" sheetId="24" r:id="rId24"/>
    <sheet name="SPORTS" sheetId="36" r:id="rId25"/>
    <sheet name="STU INNOV" sheetId="35" r:id="rId26"/>
    <sheet name="SA" sheetId="26" r:id="rId27"/>
    <sheet name="EVENTS" sheetId="27" r:id="rId28"/>
    <sheet name="GSC" sheetId="5" r:id="rId29"/>
    <sheet name="MKTG" sheetId="33" r:id="rId30"/>
    <sheet name="CREATIVE" sheetId="28" r:id="rId31"/>
    <sheet name="VOL" sheetId="29" r:id="rId32"/>
    <sheet name="ADMIN" sheetId="30" r:id="rId33"/>
    <sheet name="FINANCE" sheetId="31" r:id="rId34"/>
    <sheet name="IT" sheetId="32" r:id="rId35"/>
  </sheets>
  <externalReferences>
    <externalReference r:id="rId36"/>
    <externalReference r:id="rId37"/>
  </externalReferences>
  <definedNames>
    <definedName name="_xlnm._FilterDatabase" localSheetId="0" hidden="1">PL!$C$28:$H$45</definedName>
    <definedName name="_xlnm.Print_Area" localSheetId="5">'CAT OUT'!$A$1:$N$17</definedName>
    <definedName name="_xlnm.Print_Area" localSheetId="0">PL!$C$1:$P$119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36" l="1"/>
  <c r="C8" i="36"/>
  <c r="D8" i="36"/>
  <c r="E8" i="36"/>
  <c r="F8" i="36"/>
  <c r="G8" i="36"/>
  <c r="H8" i="36"/>
  <c r="I8" i="36"/>
  <c r="J8" i="36"/>
  <c r="J18" i="36" s="1"/>
  <c r="J19" i="36" s="1"/>
  <c r="K8" i="36"/>
  <c r="L8" i="36"/>
  <c r="L18" i="36" s="1"/>
  <c r="L19" i="36" s="1"/>
  <c r="M8" i="36"/>
  <c r="M18" i="36" s="1"/>
  <c r="M19" i="36" s="1"/>
  <c r="N8" i="36"/>
  <c r="N11" i="36"/>
  <c r="N16" i="36" s="1"/>
  <c r="N17" i="36" s="1"/>
  <c r="N18" i="36" s="1"/>
  <c r="N19" i="36" s="1"/>
  <c r="N12" i="36"/>
  <c r="N13" i="36"/>
  <c r="N14" i="36"/>
  <c r="N15" i="36"/>
  <c r="B16" i="36"/>
  <c r="C16" i="36"/>
  <c r="D16" i="36"/>
  <c r="E16" i="36"/>
  <c r="F16" i="36"/>
  <c r="G16" i="36"/>
  <c r="G17" i="36" s="1"/>
  <c r="H16" i="36"/>
  <c r="H17" i="36" s="1"/>
  <c r="H18" i="36" s="1"/>
  <c r="H19" i="36" s="1"/>
  <c r="I16" i="36"/>
  <c r="I17" i="36" s="1"/>
  <c r="I18" i="36" s="1"/>
  <c r="I19" i="36" s="1"/>
  <c r="J16" i="36"/>
  <c r="K16" i="36"/>
  <c r="K17" i="36" s="1"/>
  <c r="K18" i="36" s="1"/>
  <c r="K19" i="36" s="1"/>
  <c r="L16" i="36"/>
  <c r="M16" i="36"/>
  <c r="M17" i="36" s="1"/>
  <c r="B17" i="36"/>
  <c r="C17" i="36"/>
  <c r="D17" i="36"/>
  <c r="E17" i="36"/>
  <c r="F17" i="36"/>
  <c r="F18" i="36" s="1"/>
  <c r="F19" i="36" s="1"/>
  <c r="J17" i="36"/>
  <c r="L17" i="36"/>
  <c r="B18" i="36"/>
  <c r="C18" i="36"/>
  <c r="D18" i="36"/>
  <c r="E18" i="36"/>
  <c r="E19" i="36" s="1"/>
  <c r="B19" i="36"/>
  <c r="C19" i="36"/>
  <c r="D19" i="36"/>
  <c r="K24" i="20"/>
  <c r="E24" i="20"/>
  <c r="C24" i="20"/>
  <c r="B24" i="20"/>
  <c r="N23" i="20"/>
  <c r="N24" i="20" s="1"/>
  <c r="M23" i="20"/>
  <c r="M24" i="20" s="1"/>
  <c r="L23" i="20"/>
  <c r="L24" i="20" s="1"/>
  <c r="K23" i="20"/>
  <c r="J23" i="20"/>
  <c r="J24" i="20" s="1"/>
  <c r="I23" i="20"/>
  <c r="I24" i="20" s="1"/>
  <c r="H23" i="20"/>
  <c r="H24" i="20" s="1"/>
  <c r="G23" i="20"/>
  <c r="G24" i="20" s="1"/>
  <c r="D23" i="20"/>
  <c r="D24" i="20" s="1"/>
  <c r="C23" i="20"/>
  <c r="B23" i="20"/>
  <c r="N22" i="20"/>
  <c r="B19" i="20"/>
  <c r="B25" i="20" s="1"/>
  <c r="J18" i="20"/>
  <c r="J19" i="20" s="1"/>
  <c r="H18" i="20"/>
  <c r="B18" i="20"/>
  <c r="M17" i="20"/>
  <c r="M18" i="20" s="1"/>
  <c r="M19" i="20" s="1"/>
  <c r="M25" i="20" s="1"/>
  <c r="L17" i="20"/>
  <c r="L18" i="20" s="1"/>
  <c r="K17" i="20"/>
  <c r="K18" i="20" s="1"/>
  <c r="K19" i="20" s="1"/>
  <c r="K25" i="20" s="1"/>
  <c r="J17" i="20"/>
  <c r="I17" i="20"/>
  <c r="I18" i="20" s="1"/>
  <c r="I19" i="20" s="1"/>
  <c r="I25" i="20" s="1"/>
  <c r="H17" i="20"/>
  <c r="G17" i="20"/>
  <c r="G18" i="20" s="1"/>
  <c r="F17" i="20"/>
  <c r="F18" i="20" s="1"/>
  <c r="E17" i="20"/>
  <c r="E18" i="20" s="1"/>
  <c r="D17" i="20"/>
  <c r="D18" i="20" s="1"/>
  <c r="C17" i="20"/>
  <c r="C18" i="20" s="1"/>
  <c r="C19" i="20" s="1"/>
  <c r="C25" i="20" s="1"/>
  <c r="B17" i="20"/>
  <c r="N16" i="20"/>
  <c r="N15" i="20"/>
  <c r="N14" i="20"/>
  <c r="N13" i="20"/>
  <c r="N12" i="20"/>
  <c r="N17" i="20" s="1"/>
  <c r="N18" i="20" s="1"/>
  <c r="N11" i="20"/>
  <c r="M8" i="20"/>
  <c r="L8" i="20"/>
  <c r="L19" i="20" s="1"/>
  <c r="K8" i="20"/>
  <c r="J8" i="20"/>
  <c r="I8" i="20"/>
  <c r="H8" i="20"/>
  <c r="H19" i="20" s="1"/>
  <c r="H25" i="20" s="1"/>
  <c r="G8" i="20"/>
  <c r="G19" i="20" s="1"/>
  <c r="G25" i="20" s="1"/>
  <c r="F8" i="20"/>
  <c r="E8" i="20"/>
  <c r="D8" i="20"/>
  <c r="C8" i="20"/>
  <c r="B8" i="20"/>
  <c r="N8" i="20" s="1"/>
  <c r="D40" i="1"/>
  <c r="S45" i="1"/>
  <c r="E22" i="1"/>
  <c r="G18" i="36" l="1"/>
  <c r="G19" i="36" s="1"/>
  <c r="E19" i="20"/>
  <c r="E25" i="20" s="1"/>
  <c r="D19" i="20"/>
  <c r="D25" i="20" s="1"/>
  <c r="F19" i="20"/>
  <c r="F25" i="20" s="1"/>
  <c r="J25" i="20"/>
  <c r="L25" i="20"/>
  <c r="N19" i="20"/>
  <c r="N25" i="20" s="1"/>
  <c r="J25" i="15"/>
  <c r="J26" i="15" s="1"/>
  <c r="J27" i="15" s="1"/>
  <c r="M24" i="15"/>
  <c r="M25" i="15" s="1"/>
  <c r="L24" i="15"/>
  <c r="L25" i="15" s="1"/>
  <c r="L26" i="15" s="1"/>
  <c r="L27" i="15" s="1"/>
  <c r="K24" i="15"/>
  <c r="K25" i="15" s="1"/>
  <c r="K26" i="15" s="1"/>
  <c r="K27" i="15" s="1"/>
  <c r="J24" i="15"/>
  <c r="I24" i="15"/>
  <c r="I25" i="15" s="1"/>
  <c r="I26" i="15" s="1"/>
  <c r="I27" i="15" s="1"/>
  <c r="H24" i="15"/>
  <c r="H25" i="15" s="1"/>
  <c r="G24" i="15"/>
  <c r="G25" i="15" s="1"/>
  <c r="F24" i="15"/>
  <c r="F25" i="15" s="1"/>
  <c r="E24" i="15"/>
  <c r="E25" i="15" s="1"/>
  <c r="D24" i="15"/>
  <c r="D25" i="15" s="1"/>
  <c r="C24" i="15"/>
  <c r="C25" i="15" s="1"/>
  <c r="B24" i="15"/>
  <c r="B25" i="15" s="1"/>
  <c r="N23" i="15"/>
  <c r="N22" i="15"/>
  <c r="N21" i="15"/>
  <c r="N20" i="15"/>
  <c r="N19" i="15"/>
  <c r="N18" i="15"/>
  <c r="N17" i="15"/>
  <c r="N16" i="15"/>
  <c r="N15" i="15"/>
  <c r="N14" i="15"/>
  <c r="N13" i="15"/>
  <c r="N12" i="15"/>
  <c r="N11" i="15"/>
  <c r="N24" i="15" s="1"/>
  <c r="N25" i="15" s="1"/>
  <c r="N8" i="15"/>
  <c r="N26" i="15" s="1"/>
  <c r="N27" i="15" s="1"/>
  <c r="M8" i="15"/>
  <c r="M26" i="15" s="1"/>
  <c r="M27" i="15" s="1"/>
  <c r="L8" i="15"/>
  <c r="K8" i="15"/>
  <c r="J8" i="15"/>
  <c r="I8" i="15"/>
  <c r="H8" i="15"/>
  <c r="G8" i="15"/>
  <c r="F8" i="15"/>
  <c r="F26" i="15" s="1"/>
  <c r="F27" i="15" s="1"/>
  <c r="E8" i="15"/>
  <c r="E26" i="15" s="1"/>
  <c r="E27" i="15" s="1"/>
  <c r="D8" i="15"/>
  <c r="D26" i="15" s="1"/>
  <c r="D27" i="15" s="1"/>
  <c r="C8" i="15"/>
  <c r="C26" i="15" s="1"/>
  <c r="C27" i="15" s="1"/>
  <c r="B8" i="15"/>
  <c r="B26" i="15" s="1"/>
  <c r="B27" i="15" s="1"/>
  <c r="G26" i="15" l="1"/>
  <c r="G27" i="15" s="1"/>
  <c r="H26" i="15"/>
  <c r="H27" i="15" s="1"/>
  <c r="H20" i="19" l="1"/>
  <c r="H21" i="19" s="1"/>
  <c r="H22" i="19" s="1"/>
  <c r="M19" i="19"/>
  <c r="M20" i="19" s="1"/>
  <c r="M21" i="19" s="1"/>
  <c r="M22" i="19" s="1"/>
  <c r="L19" i="19"/>
  <c r="L20" i="19" s="1"/>
  <c r="L21" i="19" s="1"/>
  <c r="L22" i="19" s="1"/>
  <c r="K19" i="19"/>
  <c r="K20" i="19" s="1"/>
  <c r="K21" i="19" s="1"/>
  <c r="K22" i="19" s="1"/>
  <c r="J19" i="19"/>
  <c r="J20" i="19" s="1"/>
  <c r="J21" i="19" s="1"/>
  <c r="J22" i="19" s="1"/>
  <c r="I19" i="19"/>
  <c r="I20" i="19" s="1"/>
  <c r="I21" i="19" s="1"/>
  <c r="I22" i="19" s="1"/>
  <c r="H19" i="19"/>
  <c r="G19" i="19"/>
  <c r="G20" i="19" s="1"/>
  <c r="G21" i="19" s="1"/>
  <c r="G22" i="19" s="1"/>
  <c r="F19" i="19"/>
  <c r="F20" i="19" s="1"/>
  <c r="E19" i="19"/>
  <c r="E20" i="19" s="1"/>
  <c r="D19" i="19"/>
  <c r="D20" i="19" s="1"/>
  <c r="D21" i="19" s="1"/>
  <c r="D22" i="19" s="1"/>
  <c r="C19" i="19"/>
  <c r="C20" i="19" s="1"/>
  <c r="C21" i="19" s="1"/>
  <c r="C22" i="19" s="1"/>
  <c r="B19" i="19"/>
  <c r="B20" i="19" s="1"/>
  <c r="B21" i="19" s="1"/>
  <c r="B22" i="19" s="1"/>
  <c r="N18" i="19"/>
  <c r="N17" i="19"/>
  <c r="N16" i="19"/>
  <c r="N15" i="19"/>
  <c r="N14" i="19"/>
  <c r="N19" i="19" s="1"/>
  <c r="N20" i="19" s="1"/>
  <c r="N13" i="19"/>
  <c r="N12" i="19"/>
  <c r="N11" i="19"/>
  <c r="M8" i="19"/>
  <c r="L8" i="19"/>
  <c r="K8" i="19"/>
  <c r="J8" i="19"/>
  <c r="I8" i="19"/>
  <c r="H8" i="19"/>
  <c r="G8" i="19"/>
  <c r="F8" i="19"/>
  <c r="F21" i="19" s="1"/>
  <c r="F22" i="19" s="1"/>
  <c r="E8" i="19"/>
  <c r="E21" i="19" s="1"/>
  <c r="E22" i="19" s="1"/>
  <c r="D8" i="19"/>
  <c r="C8" i="19"/>
  <c r="B8" i="19"/>
  <c r="N8" i="19" l="1"/>
  <c r="N21" i="19" s="1"/>
  <c r="N22" i="19" s="1"/>
  <c r="M24" i="17" l="1"/>
  <c r="J24" i="17"/>
  <c r="F24" i="17"/>
  <c r="D24" i="17"/>
  <c r="N23" i="17"/>
  <c r="N24" i="17" s="1"/>
  <c r="M23" i="17"/>
  <c r="L23" i="17"/>
  <c r="L24" i="17" s="1"/>
  <c r="K23" i="17"/>
  <c r="K24" i="17" s="1"/>
  <c r="J23" i="17"/>
  <c r="I23" i="17"/>
  <c r="I24" i="17" s="1"/>
  <c r="H23" i="17"/>
  <c r="H24" i="17" s="1"/>
  <c r="G23" i="17"/>
  <c r="G24" i="17" s="1"/>
  <c r="F23" i="17"/>
  <c r="E23" i="17"/>
  <c r="E24" i="17" s="1"/>
  <c r="D23" i="17"/>
  <c r="C23" i="17"/>
  <c r="C24" i="17" s="1"/>
  <c r="B23" i="17"/>
  <c r="B24" i="17" s="1"/>
  <c r="N22" i="17"/>
  <c r="J18" i="17"/>
  <c r="H18" i="17"/>
  <c r="E18" i="17"/>
  <c r="E19" i="17" s="1"/>
  <c r="B18" i="17"/>
  <c r="M17" i="17"/>
  <c r="M18" i="17" s="1"/>
  <c r="L17" i="17"/>
  <c r="L18" i="17" s="1"/>
  <c r="K17" i="17"/>
  <c r="K18" i="17" s="1"/>
  <c r="J17" i="17"/>
  <c r="I17" i="17"/>
  <c r="I18" i="17" s="1"/>
  <c r="I19" i="17" s="1"/>
  <c r="I25" i="17" s="1"/>
  <c r="H17" i="17"/>
  <c r="G17" i="17"/>
  <c r="G18" i="17" s="1"/>
  <c r="F17" i="17"/>
  <c r="F18" i="17" s="1"/>
  <c r="E17" i="17"/>
  <c r="D17" i="17"/>
  <c r="D18" i="17" s="1"/>
  <c r="D19" i="17" s="1"/>
  <c r="D25" i="17" s="1"/>
  <c r="C17" i="17"/>
  <c r="C18" i="17" s="1"/>
  <c r="B17" i="17"/>
  <c r="N16" i="17"/>
  <c r="N15" i="17"/>
  <c r="N14" i="17"/>
  <c r="N13" i="17"/>
  <c r="N12" i="17"/>
  <c r="N11" i="17"/>
  <c r="N17" i="17" s="1"/>
  <c r="N18" i="17" s="1"/>
  <c r="N8" i="17"/>
  <c r="N19" i="17" s="1"/>
  <c r="N25" i="17" s="1"/>
  <c r="M8" i="17"/>
  <c r="M19" i="17" s="1"/>
  <c r="M25" i="17" s="1"/>
  <c r="L8" i="17"/>
  <c r="K8" i="17"/>
  <c r="J8" i="17"/>
  <c r="J19" i="17" s="1"/>
  <c r="J25" i="17" s="1"/>
  <c r="I8" i="17"/>
  <c r="H8" i="17"/>
  <c r="H19" i="17" s="1"/>
  <c r="H25" i="17" s="1"/>
  <c r="G8" i="17"/>
  <c r="F8" i="17"/>
  <c r="E8" i="17"/>
  <c r="D8" i="17"/>
  <c r="C8" i="17"/>
  <c r="C19" i="17" s="1"/>
  <c r="C25" i="17" s="1"/>
  <c r="B8" i="17"/>
  <c r="B19" i="17" s="1"/>
  <c r="B25" i="17" s="1"/>
  <c r="F19" i="17" l="1"/>
  <c r="F25" i="17" s="1"/>
  <c r="G19" i="17"/>
  <c r="G25" i="17" s="1"/>
  <c r="E25" i="17"/>
  <c r="K19" i="17"/>
  <c r="K25" i="17" s="1"/>
  <c r="L19" i="17"/>
  <c r="L25" i="17" s="1"/>
  <c r="I28" i="23" l="1"/>
  <c r="M27" i="23"/>
  <c r="M28" i="23" s="1"/>
  <c r="L27" i="23"/>
  <c r="L28" i="23" s="1"/>
  <c r="K27" i="23"/>
  <c r="K28" i="23" s="1"/>
  <c r="J27" i="23"/>
  <c r="J28" i="23" s="1"/>
  <c r="I27" i="23"/>
  <c r="H27" i="23"/>
  <c r="H28" i="23" s="1"/>
  <c r="G27" i="23"/>
  <c r="G28" i="23" s="1"/>
  <c r="F27" i="23"/>
  <c r="F28" i="23" s="1"/>
  <c r="E27" i="23"/>
  <c r="E28" i="23" s="1"/>
  <c r="D27" i="23"/>
  <c r="D28" i="23" s="1"/>
  <c r="C27" i="23"/>
  <c r="C28" i="23" s="1"/>
  <c r="B27" i="23"/>
  <c r="B28" i="23" s="1"/>
  <c r="N26" i="23"/>
  <c r="N27" i="23" s="1"/>
  <c r="N28" i="23" s="1"/>
  <c r="M22" i="23"/>
  <c r="N21" i="23"/>
  <c r="N22" i="23" s="1"/>
  <c r="M21" i="23"/>
  <c r="L21" i="23"/>
  <c r="L22" i="23" s="1"/>
  <c r="L23" i="23" s="1"/>
  <c r="K21" i="23"/>
  <c r="K22" i="23" s="1"/>
  <c r="J21" i="23"/>
  <c r="J22" i="23" s="1"/>
  <c r="I21" i="23"/>
  <c r="I22" i="23" s="1"/>
  <c r="H21" i="23"/>
  <c r="H22" i="23" s="1"/>
  <c r="G21" i="23"/>
  <c r="G22" i="23" s="1"/>
  <c r="F21" i="23"/>
  <c r="F22" i="23" s="1"/>
  <c r="E21" i="23"/>
  <c r="E22" i="23" s="1"/>
  <c r="D21" i="23"/>
  <c r="D22" i="23" s="1"/>
  <c r="C21" i="23"/>
  <c r="C22" i="23" s="1"/>
  <c r="B21" i="23"/>
  <c r="B22" i="23" s="1"/>
  <c r="N20" i="23"/>
  <c r="N19" i="23"/>
  <c r="N18" i="23"/>
  <c r="N17" i="23"/>
  <c r="N16" i="23"/>
  <c r="N15" i="23"/>
  <c r="N14" i="23"/>
  <c r="N13" i="23"/>
  <c r="N12" i="23"/>
  <c r="N11" i="23"/>
  <c r="N8" i="23"/>
  <c r="N23" i="23" s="1"/>
  <c r="N29" i="23" s="1"/>
  <c r="M8" i="23"/>
  <c r="M23" i="23" s="1"/>
  <c r="L8" i="23"/>
  <c r="K8" i="23"/>
  <c r="J8" i="23"/>
  <c r="J23" i="23" s="1"/>
  <c r="J29" i="23" s="1"/>
  <c r="I8" i="23"/>
  <c r="H8" i="23"/>
  <c r="G8" i="23"/>
  <c r="G23" i="23" s="1"/>
  <c r="G29" i="23" s="1"/>
  <c r="F8" i="23"/>
  <c r="E8" i="23"/>
  <c r="D8" i="23"/>
  <c r="C8" i="23"/>
  <c r="B8" i="23"/>
  <c r="B23" i="23" s="1"/>
  <c r="B29" i="23" s="1"/>
  <c r="C23" i="23" l="1"/>
  <c r="C29" i="23" s="1"/>
  <c r="E23" i="23"/>
  <c r="E29" i="23" s="1"/>
  <c r="F23" i="23"/>
  <c r="F29" i="23" s="1"/>
  <c r="D23" i="23"/>
  <c r="D29" i="23" s="1"/>
  <c r="H23" i="23"/>
  <c r="H29" i="23" s="1"/>
  <c r="I23" i="23"/>
  <c r="I29" i="23" s="1"/>
  <c r="K23" i="23"/>
  <c r="K29" i="23" s="1"/>
  <c r="L29" i="23"/>
  <c r="M29" i="23"/>
  <c r="J42" i="13" l="1"/>
  <c r="M41" i="13"/>
  <c r="M42" i="13" s="1"/>
  <c r="L41" i="13"/>
  <c r="L42" i="13" s="1"/>
  <c r="K41" i="13"/>
  <c r="K42" i="13" s="1"/>
  <c r="J41" i="13"/>
  <c r="I41" i="13"/>
  <c r="I42" i="13" s="1"/>
  <c r="H41" i="13"/>
  <c r="H42" i="13" s="1"/>
  <c r="G41" i="13"/>
  <c r="G42" i="13" s="1"/>
  <c r="F41" i="13"/>
  <c r="F42" i="13" s="1"/>
  <c r="E41" i="13"/>
  <c r="E42" i="13" s="1"/>
  <c r="D41" i="13"/>
  <c r="D42" i="13" s="1"/>
  <c r="C41" i="13"/>
  <c r="C42" i="13" s="1"/>
  <c r="B41" i="13"/>
  <c r="B42" i="13" s="1"/>
  <c r="N40" i="13"/>
  <c r="N39" i="13"/>
  <c r="N41" i="13" s="1"/>
  <c r="N42" i="13" s="1"/>
  <c r="C35" i="13"/>
  <c r="M34" i="13"/>
  <c r="L34" i="13"/>
  <c r="K34" i="13"/>
  <c r="J34" i="13"/>
  <c r="I34" i="13"/>
  <c r="I35" i="13" s="1"/>
  <c r="H34" i="13"/>
  <c r="H35" i="13" s="1"/>
  <c r="G34" i="13"/>
  <c r="G35" i="13" s="1"/>
  <c r="F34" i="13"/>
  <c r="F35" i="13" s="1"/>
  <c r="E34" i="13"/>
  <c r="E35" i="13" s="1"/>
  <c r="D34" i="13"/>
  <c r="D35" i="13" s="1"/>
  <c r="C34" i="13"/>
  <c r="B34" i="13"/>
  <c r="N33" i="13"/>
  <c r="N32" i="13"/>
  <c r="N31" i="13"/>
  <c r="N30" i="13"/>
  <c r="N29" i="13"/>
  <c r="N34" i="13" s="1"/>
  <c r="M27" i="13"/>
  <c r="M35" i="13" s="1"/>
  <c r="L27" i="13"/>
  <c r="L35" i="13" s="1"/>
  <c r="K27" i="13"/>
  <c r="K35" i="13" s="1"/>
  <c r="J27" i="13"/>
  <c r="J35" i="13" s="1"/>
  <c r="I27" i="13"/>
  <c r="H27" i="13"/>
  <c r="G27" i="13"/>
  <c r="F27" i="13"/>
  <c r="E27" i="13"/>
  <c r="D27" i="13"/>
  <c r="C27" i="13"/>
  <c r="B27" i="13"/>
  <c r="B35" i="13" s="1"/>
  <c r="B36" i="13" s="1"/>
  <c r="N26" i="13"/>
  <c r="N25" i="13"/>
  <c r="N24" i="13"/>
  <c r="N23" i="13"/>
  <c r="N22" i="13"/>
  <c r="N21" i="13"/>
  <c r="N20" i="13"/>
  <c r="N19" i="13"/>
  <c r="N18" i="13"/>
  <c r="N17" i="13"/>
  <c r="N16" i="13"/>
  <c r="N15" i="13"/>
  <c r="N14" i="13"/>
  <c r="N13" i="13"/>
  <c r="N12" i="13"/>
  <c r="N11" i="13"/>
  <c r="N27" i="13" s="1"/>
  <c r="N35" i="13" s="1"/>
  <c r="N36" i="13" s="1"/>
  <c r="N8" i="13"/>
  <c r="M8" i="13"/>
  <c r="M36" i="13" s="1"/>
  <c r="M43" i="13" s="1"/>
  <c r="L8" i="13"/>
  <c r="L36" i="13" s="1"/>
  <c r="L43" i="13" s="1"/>
  <c r="K8" i="13"/>
  <c r="K36" i="13" s="1"/>
  <c r="K43" i="13" s="1"/>
  <c r="J8" i="13"/>
  <c r="J36" i="13" s="1"/>
  <c r="J43" i="13" s="1"/>
  <c r="I8" i="13"/>
  <c r="I36" i="13" s="1"/>
  <c r="I43" i="13" s="1"/>
  <c r="H8" i="13"/>
  <c r="G8" i="13"/>
  <c r="F8" i="13"/>
  <c r="E8" i="13"/>
  <c r="D8" i="13"/>
  <c r="C8" i="13"/>
  <c r="C36" i="13" s="1"/>
  <c r="C43" i="13" s="1"/>
  <c r="B8" i="13"/>
  <c r="D36" i="13" l="1"/>
  <c r="D43" i="13" s="1"/>
  <c r="E36" i="13"/>
  <c r="E43" i="13" s="1"/>
  <c r="F36" i="13"/>
  <c r="F43" i="13" s="1"/>
  <c r="B43" i="13"/>
  <c r="N43" i="13"/>
  <c r="G36" i="13"/>
  <c r="G43" i="13" s="1"/>
  <c r="H36" i="13"/>
  <c r="H43" i="13" s="1"/>
  <c r="F26" i="14" l="1"/>
  <c r="D26" i="14"/>
  <c r="M25" i="14"/>
  <c r="M26" i="14" s="1"/>
  <c r="L25" i="14"/>
  <c r="L26" i="14" s="1"/>
  <c r="K25" i="14"/>
  <c r="K26" i="14" s="1"/>
  <c r="J25" i="14"/>
  <c r="J26" i="14" s="1"/>
  <c r="I25" i="14"/>
  <c r="I26" i="14" s="1"/>
  <c r="H25" i="14"/>
  <c r="H26" i="14" s="1"/>
  <c r="G25" i="14"/>
  <c r="G26" i="14" s="1"/>
  <c r="F25" i="14"/>
  <c r="E25" i="14"/>
  <c r="E26" i="14" s="1"/>
  <c r="D25" i="14"/>
  <c r="C25" i="14"/>
  <c r="C26" i="14" s="1"/>
  <c r="B25" i="14"/>
  <c r="B26" i="14" s="1"/>
  <c r="N24" i="14"/>
  <c r="N25" i="14" s="1"/>
  <c r="N26" i="14" s="1"/>
  <c r="J20" i="14"/>
  <c r="J21" i="14" s="1"/>
  <c r="J27" i="14" s="1"/>
  <c r="H20" i="14"/>
  <c r="D20" i="14"/>
  <c r="M19" i="14"/>
  <c r="M20" i="14" s="1"/>
  <c r="L19" i="14"/>
  <c r="L20" i="14" s="1"/>
  <c r="L21" i="14" s="1"/>
  <c r="L27" i="14" s="1"/>
  <c r="K19" i="14"/>
  <c r="K20" i="14" s="1"/>
  <c r="K21" i="14" s="1"/>
  <c r="K27" i="14" s="1"/>
  <c r="J19" i="14"/>
  <c r="I19" i="14"/>
  <c r="I20" i="14" s="1"/>
  <c r="I21" i="14" s="1"/>
  <c r="I27" i="14" s="1"/>
  <c r="H19" i="14"/>
  <c r="G19" i="14"/>
  <c r="G20" i="14" s="1"/>
  <c r="G21" i="14" s="1"/>
  <c r="F19" i="14"/>
  <c r="F20" i="14" s="1"/>
  <c r="E19" i="14"/>
  <c r="E20" i="14" s="1"/>
  <c r="D19" i="14"/>
  <c r="C19" i="14"/>
  <c r="C20" i="14" s="1"/>
  <c r="B19" i="14"/>
  <c r="B20" i="14" s="1"/>
  <c r="N18" i="14"/>
  <c r="N17" i="14"/>
  <c r="N16" i="14"/>
  <c r="N15" i="14"/>
  <c r="N14" i="14"/>
  <c r="N19" i="14" s="1"/>
  <c r="N20" i="14" s="1"/>
  <c r="N13" i="14"/>
  <c r="N12" i="14"/>
  <c r="N11" i="14"/>
  <c r="N8" i="14"/>
  <c r="M8" i="14"/>
  <c r="L8" i="14"/>
  <c r="K8" i="14"/>
  <c r="J8" i="14"/>
  <c r="I8" i="14"/>
  <c r="H8" i="14"/>
  <c r="H21" i="14" s="1"/>
  <c r="H27" i="14" s="1"/>
  <c r="G8" i="14"/>
  <c r="F8" i="14"/>
  <c r="F21" i="14" s="1"/>
  <c r="F27" i="14" s="1"/>
  <c r="E8" i="14"/>
  <c r="E21" i="14" s="1"/>
  <c r="E27" i="14" s="1"/>
  <c r="D8" i="14"/>
  <c r="D21" i="14" s="1"/>
  <c r="D27" i="14" s="1"/>
  <c r="C8" i="14"/>
  <c r="B8" i="14"/>
  <c r="B21" i="14" l="1"/>
  <c r="B27" i="14" s="1"/>
  <c r="M21" i="14"/>
  <c r="M27" i="14" s="1"/>
  <c r="N21" i="14"/>
  <c r="N27" i="14" s="1"/>
  <c r="C21" i="14"/>
  <c r="C27" i="14" s="1"/>
  <c r="G27" i="14"/>
  <c r="J37" i="8" l="1"/>
  <c r="F37" i="8"/>
  <c r="D37" i="8"/>
  <c r="M36" i="8"/>
  <c r="M37" i="8" s="1"/>
  <c r="L36" i="8"/>
  <c r="L37" i="8" s="1"/>
  <c r="K36" i="8"/>
  <c r="K37" i="8" s="1"/>
  <c r="J36" i="8"/>
  <c r="I36" i="8"/>
  <c r="I37" i="8" s="1"/>
  <c r="H36" i="8"/>
  <c r="H37" i="8" s="1"/>
  <c r="G36" i="8"/>
  <c r="G37" i="8" s="1"/>
  <c r="F36" i="8"/>
  <c r="E36" i="8"/>
  <c r="E37" i="8" s="1"/>
  <c r="D36" i="8"/>
  <c r="C36" i="8"/>
  <c r="C37" i="8" s="1"/>
  <c r="B36" i="8"/>
  <c r="B37" i="8" s="1"/>
  <c r="N35" i="8"/>
  <c r="N36" i="8" s="1"/>
  <c r="N37" i="8" s="1"/>
  <c r="H31" i="8"/>
  <c r="B31" i="8"/>
  <c r="B32" i="8" s="1"/>
  <c r="B38" i="8" s="1"/>
  <c r="M30" i="8"/>
  <c r="L30" i="8"/>
  <c r="K30" i="8"/>
  <c r="J30" i="8"/>
  <c r="I30" i="8"/>
  <c r="H30" i="8"/>
  <c r="G30" i="8"/>
  <c r="F30" i="8"/>
  <c r="E30" i="8"/>
  <c r="D30" i="8"/>
  <c r="D31" i="8" s="1"/>
  <c r="D32" i="8" s="1"/>
  <c r="D38" i="8" s="1"/>
  <c r="C30" i="8"/>
  <c r="C31" i="8" s="1"/>
  <c r="C32" i="8" s="1"/>
  <c r="C38" i="8" s="1"/>
  <c r="B30" i="8"/>
  <c r="N29" i="8"/>
  <c r="N28" i="8"/>
  <c r="N27" i="8"/>
  <c r="N26" i="8"/>
  <c r="N25" i="8"/>
  <c r="N30" i="8" s="1"/>
  <c r="M23" i="8"/>
  <c r="M31" i="8" s="1"/>
  <c r="M32" i="8" s="1"/>
  <c r="L23" i="8"/>
  <c r="L31" i="8" s="1"/>
  <c r="K23" i="8"/>
  <c r="K31" i="8" s="1"/>
  <c r="J23" i="8"/>
  <c r="J31" i="8" s="1"/>
  <c r="I23" i="8"/>
  <c r="I31" i="8" s="1"/>
  <c r="I32" i="8" s="1"/>
  <c r="I38" i="8" s="1"/>
  <c r="H23" i="8"/>
  <c r="G23" i="8"/>
  <c r="G31" i="8" s="1"/>
  <c r="F23" i="8"/>
  <c r="F31" i="8" s="1"/>
  <c r="E23" i="8"/>
  <c r="E31" i="8" s="1"/>
  <c r="E32" i="8" s="1"/>
  <c r="D23" i="8"/>
  <c r="C23" i="8"/>
  <c r="B23" i="8"/>
  <c r="N22" i="8"/>
  <c r="N21" i="8"/>
  <c r="N20" i="8"/>
  <c r="N19" i="8"/>
  <c r="N18" i="8"/>
  <c r="N17" i="8"/>
  <c r="N16" i="8"/>
  <c r="N15" i="8"/>
  <c r="N14" i="8"/>
  <c r="N13" i="8"/>
  <c r="N12" i="8"/>
  <c r="N11" i="8"/>
  <c r="N8" i="8"/>
  <c r="M8" i="8"/>
  <c r="L8" i="8"/>
  <c r="L32" i="8" s="1"/>
  <c r="K8" i="8"/>
  <c r="K32" i="8" s="1"/>
  <c r="J8" i="8"/>
  <c r="J32" i="8" s="1"/>
  <c r="J38" i="8" s="1"/>
  <c r="I8" i="8"/>
  <c r="H8" i="8"/>
  <c r="H32" i="8" s="1"/>
  <c r="H38" i="8" s="1"/>
  <c r="G8" i="8"/>
  <c r="F8" i="8"/>
  <c r="F32" i="8" s="1"/>
  <c r="F38" i="8" s="1"/>
  <c r="E8" i="8"/>
  <c r="D8" i="8"/>
  <c r="C8" i="8"/>
  <c r="B8" i="8"/>
  <c r="N23" i="8" l="1"/>
  <c r="N31" i="8" s="1"/>
  <c r="N32" i="8" s="1"/>
  <c r="K38" i="8"/>
  <c r="L38" i="8"/>
  <c r="N38" i="8"/>
  <c r="M38" i="8"/>
  <c r="E38" i="8"/>
  <c r="G32" i="8"/>
  <c r="G38" i="8" s="1"/>
  <c r="H28" i="10" l="1"/>
  <c r="H29" i="10" s="1"/>
  <c r="H30" i="10" s="1"/>
  <c r="M27" i="10"/>
  <c r="M28" i="10" s="1"/>
  <c r="L27" i="10"/>
  <c r="L28" i="10" s="1"/>
  <c r="L29" i="10" s="1"/>
  <c r="L30" i="10" s="1"/>
  <c r="K27" i="10"/>
  <c r="K28" i="10" s="1"/>
  <c r="K29" i="10" s="1"/>
  <c r="K30" i="10" s="1"/>
  <c r="J27" i="10"/>
  <c r="J28" i="10" s="1"/>
  <c r="J29" i="10" s="1"/>
  <c r="J30" i="10" s="1"/>
  <c r="I27" i="10"/>
  <c r="I28" i="10" s="1"/>
  <c r="I29" i="10" s="1"/>
  <c r="I30" i="10" s="1"/>
  <c r="H27" i="10"/>
  <c r="G27" i="10"/>
  <c r="F27" i="10"/>
  <c r="E27" i="10"/>
  <c r="D27" i="10"/>
  <c r="C27" i="10"/>
  <c r="B27" i="10"/>
  <c r="B28" i="10" s="1"/>
  <c r="N26" i="10"/>
  <c r="N25" i="10"/>
  <c r="N24" i="10"/>
  <c r="N23" i="10"/>
  <c r="N22" i="10"/>
  <c r="N27" i="10" s="1"/>
  <c r="M20" i="10"/>
  <c r="L20" i="10"/>
  <c r="K20" i="10"/>
  <c r="J20" i="10"/>
  <c r="I20" i="10"/>
  <c r="H20" i="10"/>
  <c r="G20" i="10"/>
  <c r="G28" i="10" s="1"/>
  <c r="G29" i="10" s="1"/>
  <c r="G30" i="10" s="1"/>
  <c r="F20" i="10"/>
  <c r="F28" i="10" s="1"/>
  <c r="E20" i="10"/>
  <c r="E28" i="10" s="1"/>
  <c r="D20" i="10"/>
  <c r="D28" i="10" s="1"/>
  <c r="C20" i="10"/>
  <c r="C28" i="10" s="1"/>
  <c r="B20" i="10"/>
  <c r="N19" i="10"/>
  <c r="N18" i="10"/>
  <c r="N17" i="10"/>
  <c r="N16" i="10"/>
  <c r="N15" i="10"/>
  <c r="N14" i="10"/>
  <c r="N13" i="10"/>
  <c r="N12" i="10"/>
  <c r="N11" i="10"/>
  <c r="N20" i="10" s="1"/>
  <c r="N8" i="10"/>
  <c r="M8" i="10"/>
  <c r="M29" i="10" s="1"/>
  <c r="M30" i="10" s="1"/>
  <c r="L8" i="10"/>
  <c r="K8" i="10"/>
  <c r="J8" i="10"/>
  <c r="I8" i="10"/>
  <c r="H8" i="10"/>
  <c r="G8" i="10"/>
  <c r="F8" i="10"/>
  <c r="E8" i="10"/>
  <c r="D8" i="10"/>
  <c r="C8" i="10"/>
  <c r="B8" i="10"/>
  <c r="B29" i="10" s="1"/>
  <c r="B30" i="10" s="1"/>
  <c r="C29" i="10" l="1"/>
  <c r="C30" i="10" s="1"/>
  <c r="E29" i="10"/>
  <c r="E30" i="10" s="1"/>
  <c r="N28" i="10"/>
  <c r="N29" i="10" s="1"/>
  <c r="N30" i="10" s="1"/>
  <c r="D29" i="10"/>
  <c r="D30" i="10" s="1"/>
  <c r="F29" i="10"/>
  <c r="F30" i="10" s="1"/>
  <c r="G27" i="22" l="1"/>
  <c r="M26" i="22"/>
  <c r="M27" i="22" s="1"/>
  <c r="L26" i="22"/>
  <c r="L27" i="22" s="1"/>
  <c r="K26" i="22"/>
  <c r="K27" i="22" s="1"/>
  <c r="J26" i="22"/>
  <c r="J27" i="22" s="1"/>
  <c r="I26" i="22"/>
  <c r="I27" i="22" s="1"/>
  <c r="H26" i="22"/>
  <c r="H27" i="22" s="1"/>
  <c r="G26" i="22"/>
  <c r="F26" i="22"/>
  <c r="F27" i="22" s="1"/>
  <c r="E26" i="22"/>
  <c r="E27" i="22" s="1"/>
  <c r="D26" i="22"/>
  <c r="D27" i="22" s="1"/>
  <c r="C26" i="22"/>
  <c r="C27" i="22" s="1"/>
  <c r="B26" i="22"/>
  <c r="B27" i="22" s="1"/>
  <c r="N25" i="22"/>
  <c r="N26" i="22" s="1"/>
  <c r="N27" i="22" s="1"/>
  <c r="K21" i="22"/>
  <c r="M20" i="22"/>
  <c r="M21" i="22" s="1"/>
  <c r="L20" i="22"/>
  <c r="L21" i="22" s="1"/>
  <c r="K20" i="22"/>
  <c r="J20" i="22"/>
  <c r="J21" i="22" s="1"/>
  <c r="I20" i="22"/>
  <c r="I21" i="22" s="1"/>
  <c r="H20" i="22"/>
  <c r="H21" i="22" s="1"/>
  <c r="G20" i="22"/>
  <c r="G21" i="22" s="1"/>
  <c r="F20" i="22"/>
  <c r="F21" i="22" s="1"/>
  <c r="E20" i="22"/>
  <c r="E21" i="22" s="1"/>
  <c r="D20" i="22"/>
  <c r="D21" i="22" s="1"/>
  <c r="C20" i="22"/>
  <c r="C21" i="22" s="1"/>
  <c r="B20" i="22"/>
  <c r="B21" i="22" s="1"/>
  <c r="N19" i="22"/>
  <c r="N18" i="22"/>
  <c r="N20" i="22" s="1"/>
  <c r="N21" i="22" s="1"/>
  <c r="N17" i="22"/>
  <c r="N16" i="22"/>
  <c r="N15" i="22"/>
  <c r="N14" i="22"/>
  <c r="N13" i="22"/>
  <c r="N12" i="22"/>
  <c r="N11" i="22"/>
  <c r="N8" i="22"/>
  <c r="M8" i="22"/>
  <c r="L8" i="22"/>
  <c r="K8" i="22"/>
  <c r="K22" i="22" s="1"/>
  <c r="K28" i="22" s="1"/>
  <c r="J8" i="22"/>
  <c r="I8" i="22"/>
  <c r="H8" i="22"/>
  <c r="H22" i="22" s="1"/>
  <c r="H28" i="22" s="1"/>
  <c r="G8" i="22"/>
  <c r="G22" i="22" s="1"/>
  <c r="G28" i="22" s="1"/>
  <c r="F8" i="22"/>
  <c r="F22" i="22" s="1"/>
  <c r="F28" i="22" s="1"/>
  <c r="E8" i="22"/>
  <c r="D8" i="22"/>
  <c r="C8" i="22"/>
  <c r="B8" i="22"/>
  <c r="I22" i="22" l="1"/>
  <c r="I28" i="22" s="1"/>
  <c r="B22" i="22"/>
  <c r="B28" i="22" s="1"/>
  <c r="D22" i="22"/>
  <c r="D28" i="22" s="1"/>
  <c r="M22" i="22"/>
  <c r="M28" i="22" s="1"/>
  <c r="N22" i="22"/>
  <c r="N28" i="22" s="1"/>
  <c r="C22" i="22"/>
  <c r="C28" i="22" s="1"/>
  <c r="E22" i="22"/>
  <c r="E28" i="22" s="1"/>
  <c r="J22" i="22"/>
  <c r="J28" i="22" s="1"/>
  <c r="L22" i="22"/>
  <c r="L28" i="22" s="1"/>
  <c r="I18" i="16" l="1"/>
  <c r="I19" i="16" s="1"/>
  <c r="I20" i="16" s="1"/>
  <c r="M17" i="16"/>
  <c r="M18" i="16" s="1"/>
  <c r="M19" i="16" s="1"/>
  <c r="M20" i="16" s="1"/>
  <c r="L17" i="16"/>
  <c r="L18" i="16" s="1"/>
  <c r="L19" i="16" s="1"/>
  <c r="L20" i="16" s="1"/>
  <c r="K17" i="16"/>
  <c r="K18" i="16" s="1"/>
  <c r="K19" i="16" s="1"/>
  <c r="K20" i="16" s="1"/>
  <c r="J17" i="16"/>
  <c r="J18" i="16" s="1"/>
  <c r="J19" i="16" s="1"/>
  <c r="J20" i="16" s="1"/>
  <c r="I17" i="16"/>
  <c r="H17" i="16"/>
  <c r="H18" i="16" s="1"/>
  <c r="H19" i="16" s="1"/>
  <c r="H20" i="16" s="1"/>
  <c r="G17" i="16"/>
  <c r="G18" i="16" s="1"/>
  <c r="F17" i="16"/>
  <c r="F18" i="16" s="1"/>
  <c r="E17" i="16"/>
  <c r="E18" i="16" s="1"/>
  <c r="D17" i="16"/>
  <c r="D18" i="16" s="1"/>
  <c r="D19" i="16" s="1"/>
  <c r="D20" i="16" s="1"/>
  <c r="C17" i="16"/>
  <c r="C18" i="16" s="1"/>
  <c r="C19" i="16" s="1"/>
  <c r="C20" i="16" s="1"/>
  <c r="B17" i="16"/>
  <c r="B18" i="16" s="1"/>
  <c r="B19" i="16" s="1"/>
  <c r="B20" i="16" s="1"/>
  <c r="N16" i="16"/>
  <c r="N15" i="16"/>
  <c r="N14" i="16"/>
  <c r="N13" i="16"/>
  <c r="N17" i="16" s="1"/>
  <c r="N18" i="16" s="1"/>
  <c r="N19" i="16" s="1"/>
  <c r="N20" i="16" s="1"/>
  <c r="N12" i="16"/>
  <c r="N11" i="16"/>
  <c r="N8" i="16"/>
  <c r="M8" i="16"/>
  <c r="L8" i="16"/>
  <c r="K8" i="16"/>
  <c r="J8" i="16"/>
  <c r="I8" i="16"/>
  <c r="H8" i="16"/>
  <c r="G8" i="16"/>
  <c r="F8" i="16"/>
  <c r="F19" i="16" s="1"/>
  <c r="F20" i="16" s="1"/>
  <c r="E8" i="16"/>
  <c r="E19" i="16" s="1"/>
  <c r="E20" i="16" s="1"/>
  <c r="D8" i="16"/>
  <c r="C8" i="16"/>
  <c r="B8" i="16"/>
  <c r="G19" i="16" l="1"/>
  <c r="G20" i="16" s="1"/>
  <c r="G30" i="12" l="1"/>
  <c r="M29" i="12"/>
  <c r="M30" i="12" s="1"/>
  <c r="L29" i="12"/>
  <c r="L30" i="12" s="1"/>
  <c r="K29" i="12"/>
  <c r="K30" i="12" s="1"/>
  <c r="J29" i="12"/>
  <c r="J30" i="12" s="1"/>
  <c r="I29" i="12"/>
  <c r="I30" i="12" s="1"/>
  <c r="H29" i="12"/>
  <c r="H30" i="12" s="1"/>
  <c r="G29" i="12"/>
  <c r="F29" i="12"/>
  <c r="F30" i="12" s="1"/>
  <c r="E29" i="12"/>
  <c r="E30" i="12" s="1"/>
  <c r="D29" i="12"/>
  <c r="D30" i="12" s="1"/>
  <c r="C29" i="12"/>
  <c r="C30" i="12" s="1"/>
  <c r="B29" i="12"/>
  <c r="B30" i="12" s="1"/>
  <c r="N28" i="12"/>
  <c r="N29" i="12" s="1"/>
  <c r="N30" i="12" s="1"/>
  <c r="K24" i="12"/>
  <c r="K25" i="12" s="1"/>
  <c r="M23" i="12"/>
  <c r="M24" i="12" s="1"/>
  <c r="L23" i="12"/>
  <c r="L24" i="12" s="1"/>
  <c r="L25" i="12" s="1"/>
  <c r="L31" i="12" s="1"/>
  <c r="K23" i="12"/>
  <c r="J23" i="12"/>
  <c r="J24" i="12" s="1"/>
  <c r="J25" i="12" s="1"/>
  <c r="J31" i="12" s="1"/>
  <c r="I23" i="12"/>
  <c r="I24" i="12" s="1"/>
  <c r="H23" i="12"/>
  <c r="H24" i="12" s="1"/>
  <c r="G23" i="12"/>
  <c r="G24" i="12" s="1"/>
  <c r="F23" i="12"/>
  <c r="F24" i="12" s="1"/>
  <c r="E23" i="12"/>
  <c r="E24" i="12" s="1"/>
  <c r="D23" i="12"/>
  <c r="D24" i="12" s="1"/>
  <c r="C23" i="12"/>
  <c r="C24" i="12" s="1"/>
  <c r="B23" i="12"/>
  <c r="B24" i="12" s="1"/>
  <c r="N22" i="12"/>
  <c r="N21" i="12"/>
  <c r="N20" i="12"/>
  <c r="N19" i="12"/>
  <c r="N18" i="12"/>
  <c r="N17" i="12"/>
  <c r="N16" i="12"/>
  <c r="N15" i="12"/>
  <c r="N14" i="12"/>
  <c r="N13" i="12"/>
  <c r="N12" i="12"/>
  <c r="N11" i="12"/>
  <c r="N23" i="12" s="1"/>
  <c r="N24" i="12" s="1"/>
  <c r="N8" i="12"/>
  <c r="N25" i="12" s="1"/>
  <c r="N31" i="12" s="1"/>
  <c r="M8" i="12"/>
  <c r="M25" i="12" s="1"/>
  <c r="M31" i="12" s="1"/>
  <c r="L8" i="12"/>
  <c r="K8" i="12"/>
  <c r="J8" i="12"/>
  <c r="I8" i="12"/>
  <c r="I25" i="12" s="1"/>
  <c r="H8" i="12"/>
  <c r="H25" i="12" s="1"/>
  <c r="G8" i="12"/>
  <c r="G25" i="12" s="1"/>
  <c r="G31" i="12" s="1"/>
  <c r="F8" i="12"/>
  <c r="F25" i="12" s="1"/>
  <c r="F31" i="12" s="1"/>
  <c r="E8" i="12"/>
  <c r="E25" i="12" s="1"/>
  <c r="E31" i="12" s="1"/>
  <c r="D8" i="12"/>
  <c r="D25" i="12" s="1"/>
  <c r="D31" i="12" s="1"/>
  <c r="C8" i="12"/>
  <c r="C25" i="12" s="1"/>
  <c r="C31" i="12" s="1"/>
  <c r="B8" i="12"/>
  <c r="B25" i="12" s="1"/>
  <c r="B31" i="12" s="1"/>
  <c r="H31" i="12" l="1"/>
  <c r="I31" i="12"/>
  <c r="K31" i="12"/>
  <c r="J57" i="9" l="1"/>
  <c r="I57" i="9"/>
  <c r="D57" i="9"/>
  <c r="N56" i="9"/>
  <c r="N57" i="9" s="1"/>
  <c r="M56" i="9"/>
  <c r="M57" i="9" s="1"/>
  <c r="L56" i="9"/>
  <c r="L57" i="9" s="1"/>
  <c r="K56" i="9"/>
  <c r="K57" i="9" s="1"/>
  <c r="J56" i="9"/>
  <c r="I56" i="9"/>
  <c r="H56" i="9"/>
  <c r="H57" i="9" s="1"/>
  <c r="G56" i="9"/>
  <c r="G57" i="9" s="1"/>
  <c r="F56" i="9"/>
  <c r="F57" i="9" s="1"/>
  <c r="E56" i="9"/>
  <c r="E57" i="9" s="1"/>
  <c r="D56" i="9"/>
  <c r="C56" i="9"/>
  <c r="C57" i="9" s="1"/>
  <c r="B56" i="9"/>
  <c r="B57" i="9" s="1"/>
  <c r="N50" i="9"/>
  <c r="M50" i="9"/>
  <c r="L50" i="9"/>
  <c r="K50" i="9"/>
  <c r="J50" i="9"/>
  <c r="I50" i="9"/>
  <c r="H50" i="9"/>
  <c r="G50" i="9"/>
  <c r="F50" i="9"/>
  <c r="E50" i="9"/>
  <c r="D50" i="9"/>
  <c r="C50" i="9"/>
  <c r="B50" i="9"/>
  <c r="N49" i="9"/>
  <c r="N48" i="9"/>
  <c r="N47" i="9"/>
  <c r="N46" i="9"/>
  <c r="N45" i="9"/>
  <c r="H43" i="9"/>
  <c r="H51" i="9" s="1"/>
  <c r="H52" i="9" s="1"/>
  <c r="H58" i="9" s="1"/>
  <c r="G43" i="9"/>
  <c r="G51" i="9" s="1"/>
  <c r="G52" i="9" s="1"/>
  <c r="G58" i="9" s="1"/>
  <c r="M42" i="9"/>
  <c r="M43" i="9" s="1"/>
  <c r="M51" i="9" s="1"/>
  <c r="M52" i="9" s="1"/>
  <c r="M58" i="9" s="1"/>
  <c r="L42" i="9"/>
  <c r="L43" i="9" s="1"/>
  <c r="L51" i="9" s="1"/>
  <c r="L52" i="9" s="1"/>
  <c r="L58" i="9" s="1"/>
  <c r="K42" i="9"/>
  <c r="K43" i="9" s="1"/>
  <c r="K51" i="9" s="1"/>
  <c r="K52" i="9" s="1"/>
  <c r="J42" i="9"/>
  <c r="J43" i="9" s="1"/>
  <c r="J51" i="9" s="1"/>
  <c r="J52" i="9" s="1"/>
  <c r="J58" i="9" s="1"/>
  <c r="I42" i="9"/>
  <c r="I43" i="9" s="1"/>
  <c r="I51" i="9" s="1"/>
  <c r="I52" i="9" s="1"/>
  <c r="I58" i="9" s="1"/>
  <c r="H42" i="9"/>
  <c r="G42" i="9"/>
  <c r="F42" i="9"/>
  <c r="F43" i="9" s="1"/>
  <c r="F51" i="9" s="1"/>
  <c r="F52" i="9" s="1"/>
  <c r="E42" i="9"/>
  <c r="E43" i="9" s="1"/>
  <c r="E51" i="9" s="1"/>
  <c r="E52" i="9" s="1"/>
  <c r="D42" i="9"/>
  <c r="D43" i="9" s="1"/>
  <c r="D51" i="9" s="1"/>
  <c r="D52" i="9" s="1"/>
  <c r="D58" i="9" s="1"/>
  <c r="C42" i="9"/>
  <c r="C43" i="9" s="1"/>
  <c r="C51" i="9" s="1"/>
  <c r="C52" i="9" s="1"/>
  <c r="B42" i="9"/>
  <c r="B43" i="9" s="1"/>
  <c r="N41" i="9"/>
  <c r="N40" i="9"/>
  <c r="N39" i="9"/>
  <c r="N38" i="9"/>
  <c r="N37" i="9"/>
  <c r="N36" i="9"/>
  <c r="N35" i="9"/>
  <c r="N34" i="9"/>
  <c r="N33" i="9"/>
  <c r="N32" i="9"/>
  <c r="N31" i="9"/>
  <c r="N30" i="9"/>
  <c r="N29" i="9"/>
  <c r="N28" i="9"/>
  <c r="N27" i="9"/>
  <c r="N26" i="9"/>
  <c r="N25" i="9"/>
  <c r="N24" i="9"/>
  <c r="N23" i="9"/>
  <c r="N22" i="9"/>
  <c r="N21" i="9"/>
  <c r="N20" i="9"/>
  <c r="N19" i="9"/>
  <c r="N18" i="9"/>
  <c r="N17" i="9"/>
  <c r="N16" i="9"/>
  <c r="N15" i="9"/>
  <c r="N14" i="9"/>
  <c r="N13" i="9"/>
  <c r="N12" i="9"/>
  <c r="N11" i="9"/>
  <c r="N8" i="9"/>
  <c r="M8" i="9"/>
  <c r="L8" i="9"/>
  <c r="K8" i="9"/>
  <c r="J8" i="9"/>
  <c r="I8" i="9"/>
  <c r="H8" i="9"/>
  <c r="G8" i="9"/>
  <c r="F8" i="9"/>
  <c r="E8" i="9"/>
  <c r="D8" i="9"/>
  <c r="C8" i="9"/>
  <c r="B8" i="9"/>
  <c r="N42" i="9" l="1"/>
  <c r="N43" i="9" s="1"/>
  <c r="N51" i="9" s="1"/>
  <c r="N52" i="9" s="1"/>
  <c r="N58" i="9" s="1"/>
  <c r="B51" i="9"/>
  <c r="B52" i="9" s="1"/>
  <c r="B58" i="9" s="1"/>
  <c r="E58" i="9"/>
  <c r="F58" i="9"/>
  <c r="C58" i="9"/>
  <c r="K58" i="9"/>
  <c r="M23" i="24" l="1"/>
  <c r="J23" i="24"/>
  <c r="J24" i="24" s="1"/>
  <c r="J25" i="24" s="1"/>
  <c r="B23" i="24"/>
  <c r="M22" i="24"/>
  <c r="L22" i="24"/>
  <c r="L23" i="24" s="1"/>
  <c r="K22" i="24"/>
  <c r="K23" i="24" s="1"/>
  <c r="J22" i="24"/>
  <c r="I22" i="24"/>
  <c r="I23" i="24" s="1"/>
  <c r="I24" i="24" s="1"/>
  <c r="I25" i="24" s="1"/>
  <c r="H22" i="24"/>
  <c r="H23" i="24" s="1"/>
  <c r="G22" i="24"/>
  <c r="G23" i="24" s="1"/>
  <c r="F22" i="24"/>
  <c r="F23" i="24" s="1"/>
  <c r="E22" i="24"/>
  <c r="E23" i="24" s="1"/>
  <c r="D22" i="24"/>
  <c r="D23" i="24" s="1"/>
  <c r="C22" i="24"/>
  <c r="C23" i="24" s="1"/>
  <c r="B22" i="24"/>
  <c r="N21" i="24"/>
  <c r="N20" i="24"/>
  <c r="N19" i="24"/>
  <c r="N22" i="24" s="1"/>
  <c r="N23" i="24" s="1"/>
  <c r="N18" i="24"/>
  <c r="N17" i="24"/>
  <c r="N16" i="24"/>
  <c r="N15" i="24"/>
  <c r="N14" i="24"/>
  <c r="N13" i="24"/>
  <c r="N12" i="24"/>
  <c r="N11" i="24"/>
  <c r="N8" i="24"/>
  <c r="M8" i="24"/>
  <c r="M24" i="24" s="1"/>
  <c r="M25" i="24" s="1"/>
  <c r="L8" i="24"/>
  <c r="L24" i="24" s="1"/>
  <c r="L25" i="24" s="1"/>
  <c r="K8" i="24"/>
  <c r="K24" i="24" s="1"/>
  <c r="K25" i="24" s="1"/>
  <c r="J8" i="24"/>
  <c r="I8" i="24"/>
  <c r="H8" i="24"/>
  <c r="H24" i="24" s="1"/>
  <c r="H25" i="24" s="1"/>
  <c r="G8" i="24"/>
  <c r="G24" i="24" s="1"/>
  <c r="G25" i="24" s="1"/>
  <c r="F8" i="24"/>
  <c r="F24" i="24" s="1"/>
  <c r="F25" i="24" s="1"/>
  <c r="E8" i="24"/>
  <c r="E24" i="24" s="1"/>
  <c r="E25" i="24" s="1"/>
  <c r="D8" i="24"/>
  <c r="D24" i="24" s="1"/>
  <c r="D25" i="24" s="1"/>
  <c r="C8" i="24"/>
  <c r="C24" i="24" s="1"/>
  <c r="C25" i="24" s="1"/>
  <c r="B8" i="24"/>
  <c r="B24" i="24" s="1"/>
  <c r="B25" i="24" s="1"/>
  <c r="N24" i="24" l="1"/>
  <c r="N25" i="24" s="1"/>
  <c r="M28" i="34" l="1"/>
  <c r="M29" i="34" s="1"/>
  <c r="L28" i="34"/>
  <c r="L29" i="34" s="1"/>
  <c r="K28" i="34"/>
  <c r="K29" i="34" s="1"/>
  <c r="J28" i="34"/>
  <c r="J29" i="34" s="1"/>
  <c r="I28" i="34"/>
  <c r="I29" i="34" s="1"/>
  <c r="H28" i="34"/>
  <c r="H29" i="34" s="1"/>
  <c r="G28" i="34"/>
  <c r="G29" i="34" s="1"/>
  <c r="F28" i="34"/>
  <c r="F29" i="34" s="1"/>
  <c r="E28" i="34"/>
  <c r="E29" i="34" s="1"/>
  <c r="D28" i="34"/>
  <c r="D29" i="34" s="1"/>
  <c r="C28" i="34"/>
  <c r="C29" i="34" s="1"/>
  <c r="B28" i="34"/>
  <c r="B29" i="34" s="1"/>
  <c r="N27" i="34"/>
  <c r="N28" i="34" s="1"/>
  <c r="N29" i="34" s="1"/>
  <c r="M22" i="34"/>
  <c r="M23" i="34" s="1"/>
  <c r="L22" i="34"/>
  <c r="L23" i="34" s="1"/>
  <c r="K22" i="34"/>
  <c r="K23" i="34" s="1"/>
  <c r="J22" i="34"/>
  <c r="J23" i="34" s="1"/>
  <c r="I22" i="34"/>
  <c r="I23" i="34" s="1"/>
  <c r="H22" i="34"/>
  <c r="H23" i="34" s="1"/>
  <c r="G22" i="34"/>
  <c r="G23" i="34" s="1"/>
  <c r="F22" i="34"/>
  <c r="F23" i="34" s="1"/>
  <c r="E22" i="34"/>
  <c r="E23" i="34" s="1"/>
  <c r="D22" i="34"/>
  <c r="D23" i="34" s="1"/>
  <c r="C22" i="34"/>
  <c r="C23" i="34" s="1"/>
  <c r="B22" i="34"/>
  <c r="B23" i="34" s="1"/>
  <c r="N21" i="34"/>
  <c r="N20" i="34"/>
  <c r="N19" i="34"/>
  <c r="N18" i="34"/>
  <c r="N17" i="34"/>
  <c r="N16" i="34"/>
  <c r="N15" i="34"/>
  <c r="N14" i="34"/>
  <c r="N13" i="34"/>
  <c r="N12" i="34"/>
  <c r="N11" i="34"/>
  <c r="N8" i="34"/>
  <c r="M8" i="34"/>
  <c r="L8" i="34"/>
  <c r="K8" i="34"/>
  <c r="K24" i="34" s="1"/>
  <c r="K30" i="34" s="1"/>
  <c r="J8" i="34"/>
  <c r="J24" i="34" s="1"/>
  <c r="I8" i="34"/>
  <c r="I24" i="34" s="1"/>
  <c r="H8" i="34"/>
  <c r="H24" i="34" s="1"/>
  <c r="G8" i="34"/>
  <c r="G24" i="34" s="1"/>
  <c r="G30" i="34" s="1"/>
  <c r="F8" i="34"/>
  <c r="F24" i="34" s="1"/>
  <c r="F30" i="34" s="1"/>
  <c r="E8" i="34"/>
  <c r="E24" i="34" s="1"/>
  <c r="E30" i="34" s="1"/>
  <c r="D8" i="34"/>
  <c r="D24" i="34" s="1"/>
  <c r="D30" i="34" s="1"/>
  <c r="C8" i="34"/>
  <c r="B8" i="34"/>
  <c r="B24" i="34" s="1"/>
  <c r="N22" i="34" l="1"/>
  <c r="N23" i="34" s="1"/>
  <c r="C24" i="34"/>
  <c r="C30" i="34" s="1"/>
  <c r="M24" i="34"/>
  <c r="M30" i="34" s="1"/>
  <c r="B30" i="34"/>
  <c r="I30" i="34"/>
  <c r="L24" i="34"/>
  <c r="L30" i="34" s="1"/>
  <c r="N24" i="34"/>
  <c r="N30" i="34" s="1"/>
  <c r="H30" i="34"/>
  <c r="J30" i="34"/>
  <c r="J27" i="18" l="1"/>
  <c r="G27" i="18"/>
  <c r="D27" i="18"/>
  <c r="M26" i="18"/>
  <c r="M27" i="18" s="1"/>
  <c r="L26" i="18"/>
  <c r="L27" i="18" s="1"/>
  <c r="K26" i="18"/>
  <c r="K27" i="18" s="1"/>
  <c r="J26" i="18"/>
  <c r="I26" i="18"/>
  <c r="I27" i="18" s="1"/>
  <c r="H26" i="18"/>
  <c r="H27" i="18" s="1"/>
  <c r="G26" i="18"/>
  <c r="F26" i="18"/>
  <c r="F27" i="18" s="1"/>
  <c r="E26" i="18"/>
  <c r="E27" i="18" s="1"/>
  <c r="D26" i="18"/>
  <c r="C26" i="18"/>
  <c r="C27" i="18" s="1"/>
  <c r="B26" i="18"/>
  <c r="B27" i="18" s="1"/>
  <c r="N25" i="18"/>
  <c r="N26" i="18" s="1"/>
  <c r="N27" i="18" s="1"/>
  <c r="K21" i="18"/>
  <c r="H21" i="18"/>
  <c r="B21" i="18"/>
  <c r="M20" i="18"/>
  <c r="M21" i="18" s="1"/>
  <c r="L20" i="18"/>
  <c r="L21" i="18" s="1"/>
  <c r="K20" i="18"/>
  <c r="J20" i="18"/>
  <c r="J21" i="18" s="1"/>
  <c r="I20" i="18"/>
  <c r="I21" i="18" s="1"/>
  <c r="H20" i="18"/>
  <c r="G20" i="18"/>
  <c r="G21" i="18" s="1"/>
  <c r="F20" i="18"/>
  <c r="F21" i="18" s="1"/>
  <c r="E20" i="18"/>
  <c r="E21" i="18" s="1"/>
  <c r="D20" i="18"/>
  <c r="D21" i="18" s="1"/>
  <c r="C20" i="18"/>
  <c r="C21" i="18" s="1"/>
  <c r="B20" i="18"/>
  <c r="N19" i="18"/>
  <c r="N18" i="18"/>
  <c r="N17" i="18"/>
  <c r="N16" i="18"/>
  <c r="N15" i="18"/>
  <c r="N14" i="18"/>
  <c r="N13" i="18"/>
  <c r="N12" i="18"/>
  <c r="N11" i="18"/>
  <c r="N20" i="18" s="1"/>
  <c r="N21" i="18" s="1"/>
  <c r="M8" i="18"/>
  <c r="N8" i="18" s="1"/>
  <c r="N22" i="18" s="1"/>
  <c r="N28" i="18" s="1"/>
  <c r="L8" i="18"/>
  <c r="K8" i="18"/>
  <c r="K22" i="18" s="1"/>
  <c r="J8" i="18"/>
  <c r="I8" i="18"/>
  <c r="H8" i="18"/>
  <c r="H22" i="18" s="1"/>
  <c r="H28" i="18" s="1"/>
  <c r="G8" i="18"/>
  <c r="F8" i="18"/>
  <c r="E8" i="18"/>
  <c r="D8" i="18"/>
  <c r="C8" i="18"/>
  <c r="C22" i="18" s="1"/>
  <c r="C28" i="18" s="1"/>
  <c r="B8" i="18"/>
  <c r="B22" i="18" s="1"/>
  <c r="B28" i="18" s="1"/>
  <c r="D22" i="18" l="1"/>
  <c r="D28" i="18" s="1"/>
  <c r="E22" i="18"/>
  <c r="E28" i="18" s="1"/>
  <c r="J22" i="18"/>
  <c r="J28" i="18" s="1"/>
  <c r="I22" i="18"/>
  <c r="I28" i="18" s="1"/>
  <c r="K28" i="18"/>
  <c r="F22" i="18"/>
  <c r="F28" i="18" s="1"/>
  <c r="G22" i="18"/>
  <c r="G28" i="18" s="1"/>
  <c r="L22" i="18"/>
  <c r="L28" i="18" s="1"/>
  <c r="M22" i="18"/>
  <c r="M28" i="18" s="1"/>
  <c r="I24" i="11" l="1"/>
  <c r="M23" i="11"/>
  <c r="M24" i="11" s="1"/>
  <c r="L23" i="11"/>
  <c r="L24" i="11" s="1"/>
  <c r="K23" i="11"/>
  <c r="K24" i="11" s="1"/>
  <c r="J23" i="11"/>
  <c r="J24" i="11" s="1"/>
  <c r="I23" i="11"/>
  <c r="H23" i="11"/>
  <c r="H24" i="11" s="1"/>
  <c r="G23" i="11"/>
  <c r="G24" i="11" s="1"/>
  <c r="F23" i="11"/>
  <c r="F24" i="11" s="1"/>
  <c r="E23" i="11"/>
  <c r="E24" i="11" s="1"/>
  <c r="D23" i="11"/>
  <c r="D24" i="11" s="1"/>
  <c r="C23" i="11"/>
  <c r="C24" i="11" s="1"/>
  <c r="B23" i="11"/>
  <c r="B24" i="11" s="1"/>
  <c r="N22" i="11"/>
  <c r="N23" i="11" s="1"/>
  <c r="N24" i="11" s="1"/>
  <c r="M18" i="11"/>
  <c r="M19" i="11" s="1"/>
  <c r="M25" i="11" s="1"/>
  <c r="D18" i="11"/>
  <c r="D19" i="11" s="1"/>
  <c r="D25" i="11" s="1"/>
  <c r="N17" i="11"/>
  <c r="N18" i="11" s="1"/>
  <c r="N19" i="11" s="1"/>
  <c r="N25" i="11" s="1"/>
  <c r="M17" i="11"/>
  <c r="L17" i="11"/>
  <c r="L18" i="11" s="1"/>
  <c r="L19" i="11" s="1"/>
  <c r="L25" i="11" s="1"/>
  <c r="K17" i="11"/>
  <c r="K18" i="11" s="1"/>
  <c r="J17" i="11"/>
  <c r="J18" i="11" s="1"/>
  <c r="I17" i="11"/>
  <c r="I18" i="11" s="1"/>
  <c r="H17" i="11"/>
  <c r="H18" i="11" s="1"/>
  <c r="H19" i="11" s="1"/>
  <c r="G17" i="11"/>
  <c r="G18" i="11" s="1"/>
  <c r="G19" i="11" s="1"/>
  <c r="G25" i="11" s="1"/>
  <c r="F17" i="11"/>
  <c r="F18" i="11" s="1"/>
  <c r="F19" i="11" s="1"/>
  <c r="F25" i="11" s="1"/>
  <c r="E17" i="11"/>
  <c r="E18" i="11" s="1"/>
  <c r="E19" i="11" s="1"/>
  <c r="E25" i="11" s="1"/>
  <c r="D17" i="11"/>
  <c r="C17" i="11"/>
  <c r="C18" i="11" s="1"/>
  <c r="C19" i="11" s="1"/>
  <c r="C25" i="11" s="1"/>
  <c r="B17" i="11"/>
  <c r="B18" i="11" s="1"/>
  <c r="B19" i="11" s="1"/>
  <c r="B25" i="11" s="1"/>
  <c r="N16" i="11"/>
  <c r="N15" i="11"/>
  <c r="N14" i="11"/>
  <c r="N13" i="11"/>
  <c r="N12" i="11"/>
  <c r="N11" i="11"/>
  <c r="N8" i="11"/>
  <c r="M8" i="11"/>
  <c r="L8" i="11"/>
  <c r="K8" i="11"/>
  <c r="K19" i="11" s="1"/>
  <c r="J8" i="11"/>
  <c r="J19" i="11" s="1"/>
  <c r="I8" i="11"/>
  <c r="I19" i="11" s="1"/>
  <c r="I25" i="11" s="1"/>
  <c r="H8" i="11"/>
  <c r="G8" i="11"/>
  <c r="F8" i="11"/>
  <c r="E8" i="11"/>
  <c r="D8" i="11"/>
  <c r="C8" i="11"/>
  <c r="B8" i="11"/>
  <c r="H25" i="11" l="1"/>
  <c r="J25" i="11"/>
  <c r="K25" i="11"/>
  <c r="M24" i="21" l="1"/>
  <c r="M25" i="21" s="1"/>
  <c r="L24" i="21"/>
  <c r="L25" i="21" s="1"/>
  <c r="L26" i="21" s="1"/>
  <c r="L27" i="21" s="1"/>
  <c r="K24" i="21"/>
  <c r="K25" i="21" s="1"/>
  <c r="K26" i="21" s="1"/>
  <c r="K27" i="21" s="1"/>
  <c r="J24" i="21"/>
  <c r="J25" i="21" s="1"/>
  <c r="J26" i="21" s="1"/>
  <c r="J27" i="21" s="1"/>
  <c r="I24" i="21"/>
  <c r="I25" i="21" s="1"/>
  <c r="I26" i="21" s="1"/>
  <c r="I27" i="21" s="1"/>
  <c r="H24" i="21"/>
  <c r="H25" i="21" s="1"/>
  <c r="G24" i="21"/>
  <c r="G25" i="21" s="1"/>
  <c r="F24" i="21"/>
  <c r="F25" i="21" s="1"/>
  <c r="E24" i="21"/>
  <c r="E25" i="21" s="1"/>
  <c r="D24" i="21"/>
  <c r="D25" i="21" s="1"/>
  <c r="C24" i="21"/>
  <c r="C25" i="21" s="1"/>
  <c r="B24" i="21"/>
  <c r="B25" i="21" s="1"/>
  <c r="N23" i="21"/>
  <c r="N22" i="21"/>
  <c r="N21" i="21"/>
  <c r="N20" i="21"/>
  <c r="N19" i="21"/>
  <c r="N18" i="21"/>
  <c r="N17" i="21"/>
  <c r="N16" i="21"/>
  <c r="N15" i="21"/>
  <c r="N14" i="21"/>
  <c r="N13" i="21"/>
  <c r="N12" i="21"/>
  <c r="N11" i="21"/>
  <c r="N8" i="21"/>
  <c r="M8" i="21"/>
  <c r="M26" i="21" s="1"/>
  <c r="M27" i="21" s="1"/>
  <c r="L8" i="21"/>
  <c r="K8" i="21"/>
  <c r="J8" i="21"/>
  <c r="I8" i="21"/>
  <c r="H8" i="21"/>
  <c r="G8" i="21"/>
  <c r="G26" i="21" s="1"/>
  <c r="G27" i="21" s="1"/>
  <c r="F8" i="21"/>
  <c r="F26" i="21" s="1"/>
  <c r="F27" i="21" s="1"/>
  <c r="E8" i="21"/>
  <c r="E26" i="21" s="1"/>
  <c r="E27" i="21" s="1"/>
  <c r="D8" i="21"/>
  <c r="D26" i="21" s="1"/>
  <c r="D27" i="21" s="1"/>
  <c r="C8" i="21"/>
  <c r="C26" i="21" s="1"/>
  <c r="C27" i="21" s="1"/>
  <c r="B8" i="21"/>
  <c r="B26" i="21" s="1"/>
  <c r="B27" i="21" l="1"/>
  <c r="N25" i="21"/>
  <c r="H26" i="21"/>
  <c r="H27" i="21" s="1"/>
  <c r="N24" i="21"/>
  <c r="N26" i="21" l="1"/>
  <c r="N27" i="21"/>
  <c r="D17" i="1" l="1"/>
  <c r="D21" i="1" s="1"/>
  <c r="N33" i="7"/>
  <c r="M33" i="7"/>
  <c r="L33" i="7"/>
  <c r="K33" i="7"/>
  <c r="J33" i="7"/>
  <c r="G33" i="7"/>
  <c r="N32" i="7"/>
  <c r="M32" i="7"/>
  <c r="L32" i="7"/>
  <c r="K32" i="7"/>
  <c r="J32" i="7"/>
  <c r="G32" i="7"/>
  <c r="N31" i="7"/>
  <c r="N34" i="7" s="1"/>
  <c r="M31" i="7"/>
  <c r="M34" i="7" s="1"/>
  <c r="L31" i="7"/>
  <c r="L34" i="7" s="1"/>
  <c r="K31" i="7"/>
  <c r="K34" i="7" s="1"/>
  <c r="J31" i="7"/>
  <c r="J34" i="7" s="1"/>
  <c r="F29" i="7"/>
  <c r="F28" i="7"/>
  <c r="G27" i="7"/>
  <c r="G31" i="7" s="1"/>
  <c r="G34" i="7" s="1"/>
  <c r="F26" i="7"/>
  <c r="F27" i="7" s="1"/>
  <c r="G25" i="7"/>
  <c r="F24" i="7"/>
  <c r="F25" i="7" s="1"/>
  <c r="F23" i="7"/>
  <c r="F22" i="7"/>
  <c r="H18" i="7"/>
  <c r="K16" i="7"/>
  <c r="J16" i="7"/>
  <c r="I16" i="7"/>
  <c r="H16" i="7"/>
  <c r="G15" i="7"/>
  <c r="F15" i="7" s="1"/>
  <c r="F16" i="7" s="1"/>
  <c r="E15" i="7"/>
  <c r="D15" i="7" s="1"/>
  <c r="P13" i="7"/>
  <c r="P18" i="7" s="1"/>
  <c r="O13" i="7"/>
  <c r="O18" i="7" s="1"/>
  <c r="N13" i="7"/>
  <c r="N18" i="7" s="1"/>
  <c r="M13" i="7"/>
  <c r="M18" i="7" s="1"/>
  <c r="L13" i="7"/>
  <c r="L18" i="7" s="1"/>
  <c r="K13" i="7"/>
  <c r="K18" i="7" s="1"/>
  <c r="J13" i="7"/>
  <c r="J18" i="7" s="1"/>
  <c r="I13" i="7"/>
  <c r="I18" i="7" s="1"/>
  <c r="H13" i="7"/>
  <c r="G12" i="7"/>
  <c r="F12" i="7"/>
  <c r="G11" i="7"/>
  <c r="F11" i="7" s="1"/>
  <c r="E11" i="7"/>
  <c r="G10" i="7"/>
  <c r="S9" i="7"/>
  <c r="S13" i="7" s="1"/>
  <c r="S18" i="7" s="1"/>
  <c r="R9" i="7"/>
  <c r="R13" i="7" s="1"/>
  <c r="R18" i="7" s="1"/>
  <c r="Q9" i="7"/>
  <c r="Q13" i="7" s="1"/>
  <c r="Q18" i="7" s="1"/>
  <c r="P9" i="7"/>
  <c r="O9" i="7"/>
  <c r="N9" i="7"/>
  <c r="M9" i="7"/>
  <c r="L9" i="7"/>
  <c r="G8" i="7"/>
  <c r="F8" i="7"/>
  <c r="E8" i="7"/>
  <c r="G7" i="7"/>
  <c r="F7" i="7" s="1"/>
  <c r="E7" i="7"/>
  <c r="D7" i="7" s="1"/>
  <c r="G6" i="7"/>
  <c r="F6" i="7"/>
  <c r="E6" i="7"/>
  <c r="G5" i="7"/>
  <c r="F5" i="7" s="1"/>
  <c r="E5" i="7"/>
  <c r="G4" i="7"/>
  <c r="F4" i="7" s="1"/>
  <c r="E4" i="7"/>
  <c r="D4" i="7" s="1"/>
  <c r="G3" i="7"/>
  <c r="G13" i="7" s="1"/>
  <c r="F3" i="7"/>
  <c r="E3" i="7"/>
  <c r="E13" i="7" s="1"/>
  <c r="E18" i="7" s="1"/>
  <c r="F31" i="7" l="1"/>
  <c r="F34" i="7" s="1"/>
  <c r="G18" i="7"/>
  <c r="F13" i="7"/>
  <c r="F18" i="7" s="1"/>
  <c r="D8" i="7"/>
  <c r="D11" i="7"/>
  <c r="D6" i="7"/>
  <c r="D3" i="7"/>
  <c r="D5" i="7"/>
  <c r="F33" i="7"/>
  <c r="G16" i="7"/>
  <c r="F32" i="7"/>
  <c r="F38" i="7" l="1"/>
  <c r="D18" i="7"/>
  <c r="J79" i="6" l="1"/>
  <c r="F79" i="6"/>
  <c r="M78" i="6"/>
  <c r="L78" i="6"/>
  <c r="K78" i="6"/>
  <c r="K79" i="6" s="1"/>
  <c r="J78" i="6"/>
  <c r="I78" i="6"/>
  <c r="H78" i="6"/>
  <c r="G78" i="6"/>
  <c r="F78" i="6"/>
  <c r="E78" i="6"/>
  <c r="D78" i="6"/>
  <c r="C78" i="6"/>
  <c r="B78" i="6"/>
  <c r="N77" i="6"/>
  <c r="N76" i="6"/>
  <c r="N78" i="6" s="1"/>
  <c r="N74" i="6"/>
  <c r="M74" i="6"/>
  <c r="L74" i="6"/>
  <c r="K74" i="6"/>
  <c r="J74" i="6"/>
  <c r="I74" i="6"/>
  <c r="H74" i="6"/>
  <c r="G74" i="6"/>
  <c r="F74" i="6"/>
  <c r="E74" i="6"/>
  <c r="D74" i="6"/>
  <c r="C74" i="6"/>
  <c r="B74" i="6"/>
  <c r="N73" i="6"/>
  <c r="M71" i="6"/>
  <c r="M79" i="6" s="1"/>
  <c r="L71" i="6"/>
  <c r="L79" i="6" s="1"/>
  <c r="K71" i="6"/>
  <c r="J71" i="6"/>
  <c r="I71" i="6"/>
  <c r="I79" i="6" s="1"/>
  <c r="H71" i="6"/>
  <c r="H79" i="6" s="1"/>
  <c r="G71" i="6"/>
  <c r="G79" i="6" s="1"/>
  <c r="F71" i="6"/>
  <c r="E71" i="6"/>
  <c r="E79" i="6" s="1"/>
  <c r="D71" i="6"/>
  <c r="D79" i="6" s="1"/>
  <c r="C71" i="6"/>
  <c r="C79" i="6" s="1"/>
  <c r="B71" i="6"/>
  <c r="B79" i="6" s="1"/>
  <c r="N70" i="6"/>
  <c r="N69" i="6"/>
  <c r="N71" i="6" s="1"/>
  <c r="N79" i="6" s="1"/>
  <c r="N68" i="6"/>
  <c r="N67" i="6"/>
  <c r="K63" i="6"/>
  <c r="J63" i="6"/>
  <c r="F63" i="6"/>
  <c r="M62" i="6"/>
  <c r="M63" i="6" s="1"/>
  <c r="L62" i="6"/>
  <c r="L63" i="6" s="1"/>
  <c r="K62" i="6"/>
  <c r="J62" i="6"/>
  <c r="I62" i="6"/>
  <c r="H62" i="6"/>
  <c r="G62" i="6"/>
  <c r="F62" i="6"/>
  <c r="E62" i="6"/>
  <c r="D62" i="6"/>
  <c r="C62" i="6"/>
  <c r="B62" i="6"/>
  <c r="B63" i="6" s="1"/>
  <c r="N61" i="6"/>
  <c r="N60" i="6"/>
  <c r="N59" i="6"/>
  <c r="N58" i="6"/>
  <c r="N57" i="6"/>
  <c r="N56" i="6"/>
  <c r="N62" i="6" s="1"/>
  <c r="M54" i="6"/>
  <c r="L54" i="6"/>
  <c r="K54" i="6"/>
  <c r="J54" i="6"/>
  <c r="I54" i="6"/>
  <c r="I63" i="6" s="1"/>
  <c r="H54" i="6"/>
  <c r="H63" i="6" s="1"/>
  <c r="G54" i="6"/>
  <c r="G63" i="6" s="1"/>
  <c r="F54" i="6"/>
  <c r="E54" i="6"/>
  <c r="E63" i="6" s="1"/>
  <c r="D54" i="6"/>
  <c r="D63" i="6" s="1"/>
  <c r="C54" i="6"/>
  <c r="C63" i="6" s="1"/>
  <c r="B54" i="6"/>
  <c r="N53" i="6"/>
  <c r="N52" i="6"/>
  <c r="N51" i="6"/>
  <c r="N50" i="6"/>
  <c r="N49" i="6"/>
  <c r="N48" i="6"/>
  <c r="N47" i="6"/>
  <c r="N46" i="6"/>
  <c r="N45" i="6"/>
  <c r="N44" i="6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N25" i="6"/>
  <c r="N24" i="6"/>
  <c r="N23" i="6"/>
  <c r="N54" i="6" s="1"/>
  <c r="N63" i="6" s="1"/>
  <c r="M19" i="6"/>
  <c r="L19" i="6"/>
  <c r="K19" i="6"/>
  <c r="J19" i="6"/>
  <c r="I19" i="6"/>
  <c r="H19" i="6"/>
  <c r="G19" i="6"/>
  <c r="F19" i="6"/>
  <c r="E19" i="6"/>
  <c r="D19" i="6"/>
  <c r="C19" i="6"/>
  <c r="B19" i="6"/>
  <c r="N18" i="6"/>
  <c r="N19" i="6" s="1"/>
  <c r="G16" i="6"/>
  <c r="G20" i="6" s="1"/>
  <c r="C16" i="6"/>
  <c r="C20" i="6" s="1"/>
  <c r="N15" i="6"/>
  <c r="M15" i="6"/>
  <c r="L15" i="6"/>
  <c r="K15" i="6"/>
  <c r="J15" i="6"/>
  <c r="I15" i="6"/>
  <c r="I16" i="6" s="1"/>
  <c r="I20" i="6" s="1"/>
  <c r="H15" i="6"/>
  <c r="H16" i="6" s="1"/>
  <c r="H20" i="6" s="1"/>
  <c r="G15" i="6"/>
  <c r="F15" i="6"/>
  <c r="E15" i="6"/>
  <c r="E16" i="6" s="1"/>
  <c r="E20" i="6" s="1"/>
  <c r="E64" i="6" s="1"/>
  <c r="E80" i="6" s="1"/>
  <c r="D15" i="6"/>
  <c r="D16" i="6" s="1"/>
  <c r="D20" i="6" s="1"/>
  <c r="C15" i="6"/>
  <c r="B15" i="6"/>
  <c r="N14" i="6"/>
  <c r="M12" i="6"/>
  <c r="M16" i="6" s="1"/>
  <c r="M20" i="6" s="1"/>
  <c r="L12" i="6"/>
  <c r="L16" i="6" s="1"/>
  <c r="L20" i="6" s="1"/>
  <c r="K12" i="6"/>
  <c r="K16" i="6" s="1"/>
  <c r="K20" i="6" s="1"/>
  <c r="K64" i="6" s="1"/>
  <c r="K80" i="6" s="1"/>
  <c r="J12" i="6"/>
  <c r="J16" i="6" s="1"/>
  <c r="J20" i="6" s="1"/>
  <c r="J64" i="6" s="1"/>
  <c r="J80" i="6" s="1"/>
  <c r="I12" i="6"/>
  <c r="H12" i="6"/>
  <c r="G12" i="6"/>
  <c r="F12" i="6"/>
  <c r="F16" i="6" s="1"/>
  <c r="F20" i="6" s="1"/>
  <c r="F64" i="6" s="1"/>
  <c r="F80" i="6" s="1"/>
  <c r="E12" i="6"/>
  <c r="D12" i="6"/>
  <c r="C12" i="6"/>
  <c r="B12" i="6"/>
  <c r="B16" i="6" s="1"/>
  <c r="B20" i="6" s="1"/>
  <c r="N11" i="6"/>
  <c r="N10" i="6"/>
  <c r="N12" i="6" s="1"/>
  <c r="N16" i="6" s="1"/>
  <c r="C6" i="6"/>
  <c r="D6" i="6" s="1"/>
  <c r="E6" i="6" s="1"/>
  <c r="F6" i="6" s="1"/>
  <c r="G6" i="6" s="1"/>
  <c r="H6" i="6" s="1"/>
  <c r="I6" i="6" s="1"/>
  <c r="J6" i="6" s="1"/>
  <c r="K6" i="6" s="1"/>
  <c r="L6" i="6" s="1"/>
  <c r="M6" i="6" s="1"/>
  <c r="H64" i="6" l="1"/>
  <c r="H80" i="6" s="1"/>
  <c r="I64" i="6"/>
  <c r="I80" i="6" s="1"/>
  <c r="L64" i="6"/>
  <c r="L80" i="6" s="1"/>
  <c r="P62" i="6"/>
  <c r="N20" i="6"/>
  <c r="M64" i="6"/>
  <c r="M80" i="6" s="1"/>
  <c r="B64" i="6"/>
  <c r="B80" i="6" s="1"/>
  <c r="C64" i="6"/>
  <c r="C80" i="6" s="1"/>
  <c r="D64" i="6"/>
  <c r="D80" i="6" s="1"/>
  <c r="G64" i="6"/>
  <c r="G80" i="6" s="1"/>
  <c r="N64" i="6" l="1"/>
  <c r="N80" i="6" s="1"/>
  <c r="P20" i="6"/>
  <c r="N45" i="35" l="1"/>
  <c r="N46" i="35" s="1"/>
  <c r="N44" i="35"/>
  <c r="M36" i="35"/>
  <c r="L36" i="35"/>
  <c r="K36" i="35"/>
  <c r="J36" i="35"/>
  <c r="I36" i="35"/>
  <c r="H36" i="35"/>
  <c r="G36" i="35"/>
  <c r="F36" i="35"/>
  <c r="E36" i="35"/>
  <c r="D36" i="35"/>
  <c r="C36" i="35"/>
  <c r="M46" i="35"/>
  <c r="L46" i="35"/>
  <c r="K46" i="35"/>
  <c r="J46" i="35"/>
  <c r="I46" i="35"/>
  <c r="H46" i="35"/>
  <c r="G46" i="35"/>
  <c r="F46" i="35"/>
  <c r="E46" i="35"/>
  <c r="D46" i="35"/>
  <c r="C46" i="35"/>
  <c r="B46" i="35"/>
  <c r="B36" i="35" s="1"/>
  <c r="N42" i="5" l="1"/>
  <c r="F21" i="1" l="1"/>
  <c r="F22" i="1" s="1"/>
  <c r="E68" i="1"/>
  <c r="E60" i="1"/>
  <c r="H40" i="1"/>
  <c r="H21" i="1"/>
  <c r="H22" i="1" s="1"/>
  <c r="H25" i="1"/>
  <c r="E62" i="1" l="1"/>
  <c r="E70" i="1" s="1"/>
  <c r="M32" i="28"/>
  <c r="L32" i="28"/>
  <c r="K32" i="28"/>
  <c r="J32" i="28"/>
  <c r="I32" i="28"/>
  <c r="H32" i="28"/>
  <c r="G32" i="28"/>
  <c r="F32" i="28"/>
  <c r="E32" i="28"/>
  <c r="D32" i="28"/>
  <c r="C32" i="28"/>
  <c r="B32" i="28"/>
  <c r="E114" i="1" l="1"/>
  <c r="E119" i="1"/>
  <c r="N25" i="31"/>
  <c r="F68" i="1"/>
  <c r="F60" i="1"/>
  <c r="F62" i="1" l="1"/>
  <c r="F70" i="1" s="1"/>
  <c r="F114" i="1" s="1"/>
  <c r="N18" i="32" l="1"/>
  <c r="M11" i="31"/>
  <c r="L11" i="31"/>
  <c r="K11" i="31"/>
  <c r="J11" i="31"/>
  <c r="I11" i="31"/>
  <c r="H11" i="31"/>
  <c r="G11" i="31"/>
  <c r="F11" i="31"/>
  <c r="E11" i="31"/>
  <c r="D11" i="31"/>
  <c r="C11" i="31"/>
  <c r="B11" i="31"/>
  <c r="M35" i="29"/>
  <c r="L35" i="29"/>
  <c r="K35" i="29"/>
  <c r="J35" i="29"/>
  <c r="I35" i="29"/>
  <c r="H35" i="29"/>
  <c r="G35" i="29"/>
  <c r="F35" i="29"/>
  <c r="E35" i="29"/>
  <c r="D35" i="29"/>
  <c r="C35" i="29"/>
  <c r="B35" i="29"/>
  <c r="N34" i="29"/>
  <c r="N33" i="29"/>
  <c r="N32" i="29"/>
  <c r="N31" i="29"/>
  <c r="N30" i="29"/>
  <c r="M28" i="29"/>
  <c r="M36" i="29" s="1"/>
  <c r="L28" i="29"/>
  <c r="L36" i="29" s="1"/>
  <c r="L37" i="29" s="1"/>
  <c r="L38" i="29" s="1"/>
  <c r="K28" i="29"/>
  <c r="K36" i="29" s="1"/>
  <c r="J28" i="29"/>
  <c r="J36" i="29" s="1"/>
  <c r="I28" i="29"/>
  <c r="I36" i="29" s="1"/>
  <c r="H28" i="29"/>
  <c r="H36" i="29" s="1"/>
  <c r="G28" i="29"/>
  <c r="G36" i="29" s="1"/>
  <c r="F28" i="29"/>
  <c r="E28" i="29"/>
  <c r="D28" i="29"/>
  <c r="C28" i="29"/>
  <c r="B28" i="29"/>
  <c r="B36" i="29" s="1"/>
  <c r="N27" i="29"/>
  <c r="N26" i="29"/>
  <c r="N25" i="29"/>
  <c r="N24" i="29"/>
  <c r="N23" i="29"/>
  <c r="N22" i="29"/>
  <c r="N21" i="29"/>
  <c r="N20" i="29"/>
  <c r="N19" i="29"/>
  <c r="N18" i="29"/>
  <c r="N17" i="29"/>
  <c r="N16" i="29"/>
  <c r="N15" i="29"/>
  <c r="N14" i="29"/>
  <c r="N13" i="29"/>
  <c r="N12" i="29"/>
  <c r="N11" i="29"/>
  <c r="N8" i="29"/>
  <c r="M8" i="29"/>
  <c r="L8" i="29"/>
  <c r="K8" i="29"/>
  <c r="J8" i="29"/>
  <c r="I8" i="29"/>
  <c r="H8" i="29"/>
  <c r="G8" i="29"/>
  <c r="F8" i="29"/>
  <c r="E8" i="29"/>
  <c r="D8" i="29"/>
  <c r="C8" i="29"/>
  <c r="B8" i="29"/>
  <c r="D36" i="29" l="1"/>
  <c r="D37" i="29" s="1"/>
  <c r="D38" i="29" s="1"/>
  <c r="C36" i="29"/>
  <c r="C37" i="29" s="1"/>
  <c r="C38" i="29" s="1"/>
  <c r="E36" i="29"/>
  <c r="E37" i="29" s="1"/>
  <c r="E38" i="29" s="1"/>
  <c r="K37" i="29"/>
  <c r="K38" i="29" s="1"/>
  <c r="G37" i="29"/>
  <c r="G38" i="29" s="1"/>
  <c r="N28" i="29"/>
  <c r="B37" i="29"/>
  <c r="B38" i="29" s="1"/>
  <c r="J37" i="29"/>
  <c r="J38" i="29" s="1"/>
  <c r="F36" i="29"/>
  <c r="F37" i="29" s="1"/>
  <c r="F38" i="29" s="1"/>
  <c r="N35" i="29"/>
  <c r="N36" i="29" s="1"/>
  <c r="N37" i="29" s="1"/>
  <c r="N38" i="29" s="1"/>
  <c r="H37" i="29"/>
  <c r="H38" i="29" s="1"/>
  <c r="I37" i="29"/>
  <c r="I38" i="29" s="1"/>
  <c r="M37" i="29"/>
  <c r="M38" i="29" s="1"/>
  <c r="L33" i="28" l="1"/>
  <c r="K33" i="28"/>
  <c r="I33" i="28"/>
  <c r="D33" i="28"/>
  <c r="C33" i="28"/>
  <c r="N31" i="28"/>
  <c r="N30" i="28"/>
  <c r="N29" i="28"/>
  <c r="N28" i="28"/>
  <c r="N27" i="28"/>
  <c r="M25" i="28"/>
  <c r="M33" i="28" s="1"/>
  <c r="L25" i="28"/>
  <c r="K25" i="28"/>
  <c r="J25" i="28"/>
  <c r="J33" i="28" s="1"/>
  <c r="I25" i="28"/>
  <c r="H25" i="28"/>
  <c r="H33" i="28" s="1"/>
  <c r="G25" i="28"/>
  <c r="G33" i="28" s="1"/>
  <c r="F25" i="28"/>
  <c r="F33" i="28" s="1"/>
  <c r="E25" i="28"/>
  <c r="E33" i="28" s="1"/>
  <c r="D25" i="28"/>
  <c r="C25" i="28"/>
  <c r="B25" i="28"/>
  <c r="B33" i="28" s="1"/>
  <c r="N24" i="28"/>
  <c r="N23" i="28"/>
  <c r="N22" i="28"/>
  <c r="N21" i="28"/>
  <c r="N20" i="28"/>
  <c r="N19" i="28"/>
  <c r="N18" i="28"/>
  <c r="N17" i="28"/>
  <c r="N16" i="28"/>
  <c r="N15" i="28"/>
  <c r="N25" i="28" s="1"/>
  <c r="J12" i="28"/>
  <c r="I12" i="28"/>
  <c r="G12" i="28"/>
  <c r="B12" i="28"/>
  <c r="N11" i="28"/>
  <c r="N12" i="28" s="1"/>
  <c r="M11" i="28"/>
  <c r="M12" i="28" s="1"/>
  <c r="L11" i="28"/>
  <c r="L12" i="28" s="1"/>
  <c r="L34" i="28" s="1"/>
  <c r="L35" i="28" s="1"/>
  <c r="K11" i="28"/>
  <c r="K12" i="28" s="1"/>
  <c r="J11" i="28"/>
  <c r="I11" i="28"/>
  <c r="H11" i="28"/>
  <c r="H12" i="28" s="1"/>
  <c r="G11" i="28"/>
  <c r="F11" i="28"/>
  <c r="F12" i="28" s="1"/>
  <c r="E11" i="28"/>
  <c r="E12" i="28" s="1"/>
  <c r="D11" i="28"/>
  <c r="D12" i="28" s="1"/>
  <c r="C11" i="28"/>
  <c r="C12" i="28" s="1"/>
  <c r="B11" i="28"/>
  <c r="N10" i="28"/>
  <c r="K34" i="28" l="1"/>
  <c r="K35" i="28" s="1"/>
  <c r="I34" i="28"/>
  <c r="I35" i="28" s="1"/>
  <c r="C34" i="28"/>
  <c r="C35" i="28" s="1"/>
  <c r="D34" i="28"/>
  <c r="D35" i="28" s="1"/>
  <c r="B34" i="28"/>
  <c r="B35" i="28" s="1"/>
  <c r="H34" i="28"/>
  <c r="H35" i="28" s="1"/>
  <c r="G34" i="28"/>
  <c r="G35" i="28" s="1"/>
  <c r="J34" i="28"/>
  <c r="J35" i="28" s="1"/>
  <c r="N32" i="28"/>
  <c r="N33" i="28" s="1"/>
  <c r="N34" i="28" s="1"/>
  <c r="N35" i="28" s="1"/>
  <c r="E34" i="28"/>
  <c r="E35" i="28" s="1"/>
  <c r="M34" i="28"/>
  <c r="M35" i="28" s="1"/>
  <c r="F34" i="28"/>
  <c r="F35" i="28" s="1"/>
  <c r="M18" i="5" l="1"/>
  <c r="L18" i="5"/>
  <c r="K18" i="5"/>
  <c r="I18" i="5"/>
  <c r="G18" i="5"/>
  <c r="E18" i="5"/>
  <c r="D18" i="5"/>
  <c r="C18" i="5"/>
  <c r="F18" i="5"/>
  <c r="N12" i="5"/>
  <c r="N11" i="5"/>
  <c r="L54" i="33"/>
  <c r="H54" i="33"/>
  <c r="D54" i="33"/>
  <c r="M53" i="33"/>
  <c r="M54" i="33" s="1"/>
  <c r="L53" i="33"/>
  <c r="K53" i="33"/>
  <c r="K54" i="33" s="1"/>
  <c r="J53" i="33"/>
  <c r="J54" i="33" s="1"/>
  <c r="I53" i="33"/>
  <c r="I54" i="33" s="1"/>
  <c r="H53" i="33"/>
  <c r="G53" i="33"/>
  <c r="G54" i="33" s="1"/>
  <c r="F53" i="33"/>
  <c r="F54" i="33" s="1"/>
  <c r="E53" i="33"/>
  <c r="E54" i="33" s="1"/>
  <c r="D53" i="33"/>
  <c r="C53" i="33"/>
  <c r="C54" i="33" s="1"/>
  <c r="B53" i="33"/>
  <c r="B54" i="33" s="1"/>
  <c r="N52" i="33"/>
  <c r="N51" i="33"/>
  <c r="N50" i="33"/>
  <c r="N53" i="33" s="1"/>
  <c r="N54" i="33" s="1"/>
  <c r="M45" i="33"/>
  <c r="L45" i="33"/>
  <c r="K45" i="33"/>
  <c r="J45" i="33"/>
  <c r="I45" i="33"/>
  <c r="H45" i="33"/>
  <c r="G45" i="33"/>
  <c r="F45" i="33"/>
  <c r="E45" i="33"/>
  <c r="D45" i="33"/>
  <c r="C45" i="33"/>
  <c r="B45" i="33"/>
  <c r="N44" i="33"/>
  <c r="N43" i="33"/>
  <c r="N42" i="33"/>
  <c r="N41" i="33"/>
  <c r="N40" i="33"/>
  <c r="N39" i="33"/>
  <c r="M37" i="33"/>
  <c r="L37" i="33"/>
  <c r="K37" i="33"/>
  <c r="K46" i="33" s="1"/>
  <c r="J37" i="33"/>
  <c r="I37" i="33"/>
  <c r="H37" i="33"/>
  <c r="G37" i="33"/>
  <c r="F37" i="33"/>
  <c r="F46" i="33" s="1"/>
  <c r="E37" i="33"/>
  <c r="E46" i="33" s="1"/>
  <c r="D37" i="33"/>
  <c r="D46" i="33" s="1"/>
  <c r="C37" i="33"/>
  <c r="B37" i="33"/>
  <c r="N36" i="33"/>
  <c r="N35" i="33"/>
  <c r="N34" i="33"/>
  <c r="N33" i="33"/>
  <c r="N32" i="33"/>
  <c r="N31" i="33"/>
  <c r="N30" i="33"/>
  <c r="N29" i="33"/>
  <c r="N28" i="33"/>
  <c r="N27" i="33"/>
  <c r="N26" i="33"/>
  <c r="N25" i="33"/>
  <c r="N24" i="33"/>
  <c r="N23" i="33"/>
  <c r="N22" i="33"/>
  <c r="N21" i="33"/>
  <c r="N20" i="33"/>
  <c r="M16" i="33"/>
  <c r="L16" i="33"/>
  <c r="K16" i="33"/>
  <c r="J16" i="33"/>
  <c r="I16" i="33"/>
  <c r="H16" i="33"/>
  <c r="G16" i="33"/>
  <c r="F16" i="33"/>
  <c r="E16" i="33"/>
  <c r="D16" i="33"/>
  <c r="C16" i="33"/>
  <c r="B16" i="33"/>
  <c r="N15" i="33"/>
  <c r="N16" i="33" s="1"/>
  <c r="K13" i="33"/>
  <c r="K17" i="33" s="1"/>
  <c r="H13" i="33"/>
  <c r="H17" i="33" s="1"/>
  <c r="G13" i="33"/>
  <c r="G17" i="33" s="1"/>
  <c r="C13" i="33"/>
  <c r="C17" i="33" s="1"/>
  <c r="M12" i="33"/>
  <c r="M13" i="33" s="1"/>
  <c r="M17" i="33" s="1"/>
  <c r="L12" i="33"/>
  <c r="L13" i="33" s="1"/>
  <c r="L17" i="33" s="1"/>
  <c r="K12" i="33"/>
  <c r="J12" i="33"/>
  <c r="J13" i="33" s="1"/>
  <c r="J17" i="33" s="1"/>
  <c r="I12" i="33"/>
  <c r="I13" i="33" s="1"/>
  <c r="I17" i="33" s="1"/>
  <c r="H12" i="33"/>
  <c r="G12" i="33"/>
  <c r="F12" i="33"/>
  <c r="F13" i="33" s="1"/>
  <c r="F17" i="33" s="1"/>
  <c r="E12" i="33"/>
  <c r="E13" i="33" s="1"/>
  <c r="E17" i="33" s="1"/>
  <c r="D12" i="33"/>
  <c r="D13" i="33" s="1"/>
  <c r="D17" i="33" s="1"/>
  <c r="C12" i="33"/>
  <c r="B12" i="33"/>
  <c r="B13" i="33" s="1"/>
  <c r="B17" i="33" s="1"/>
  <c r="N11" i="33"/>
  <c r="N10" i="33"/>
  <c r="N12" i="33" s="1"/>
  <c r="N13" i="33" s="1"/>
  <c r="N17" i="33" s="1"/>
  <c r="M55" i="5"/>
  <c r="M56" i="5" s="1"/>
  <c r="L55" i="5"/>
  <c r="L56" i="5" s="1"/>
  <c r="K55" i="5"/>
  <c r="K56" i="5" s="1"/>
  <c r="J55" i="5"/>
  <c r="J56" i="5" s="1"/>
  <c r="I55" i="5"/>
  <c r="I56" i="5" s="1"/>
  <c r="H55" i="5"/>
  <c r="H56" i="5" s="1"/>
  <c r="G55" i="5"/>
  <c r="G56" i="5" s="1"/>
  <c r="F55" i="5"/>
  <c r="F56" i="5" s="1"/>
  <c r="E55" i="5"/>
  <c r="E56" i="5" s="1"/>
  <c r="D55" i="5"/>
  <c r="D56" i="5" s="1"/>
  <c r="C55" i="5"/>
  <c r="C56" i="5" s="1"/>
  <c r="B55" i="5"/>
  <c r="B56" i="5" s="1"/>
  <c r="N54" i="5"/>
  <c r="N53" i="5"/>
  <c r="N52" i="5"/>
  <c r="M47" i="5"/>
  <c r="L47" i="5"/>
  <c r="K47" i="5"/>
  <c r="J47" i="5"/>
  <c r="I47" i="5"/>
  <c r="H47" i="5"/>
  <c r="G47" i="5"/>
  <c r="F47" i="5"/>
  <c r="E47" i="5"/>
  <c r="D47" i="5"/>
  <c r="C47" i="5"/>
  <c r="B47" i="5"/>
  <c r="N46" i="5"/>
  <c r="N45" i="5"/>
  <c r="N44" i="5"/>
  <c r="N43" i="5"/>
  <c r="N41" i="5"/>
  <c r="M39" i="5"/>
  <c r="L39" i="5"/>
  <c r="K39" i="5"/>
  <c r="J39" i="5"/>
  <c r="I39" i="5"/>
  <c r="H39" i="5"/>
  <c r="G39" i="5"/>
  <c r="F39" i="5"/>
  <c r="E39" i="5"/>
  <c r="D39" i="5"/>
  <c r="C39" i="5"/>
  <c r="C48" i="5" s="1"/>
  <c r="B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J18" i="5"/>
  <c r="H18" i="5"/>
  <c r="M14" i="5"/>
  <c r="M15" i="5" s="1"/>
  <c r="L14" i="5"/>
  <c r="L15" i="5" s="1"/>
  <c r="K14" i="5"/>
  <c r="K15" i="5" s="1"/>
  <c r="J14" i="5"/>
  <c r="J15" i="5" s="1"/>
  <c r="J19" i="5" s="1"/>
  <c r="I14" i="5"/>
  <c r="I15" i="5" s="1"/>
  <c r="H14" i="5"/>
  <c r="H15" i="5" s="1"/>
  <c r="G14" i="5"/>
  <c r="G15" i="5" s="1"/>
  <c r="F14" i="5"/>
  <c r="F15" i="5" s="1"/>
  <c r="E14" i="5"/>
  <c r="E15" i="5" s="1"/>
  <c r="D14" i="5"/>
  <c r="D15" i="5" s="1"/>
  <c r="C14" i="5"/>
  <c r="C15" i="5" s="1"/>
  <c r="B14" i="5"/>
  <c r="B15" i="5" s="1"/>
  <c r="N13" i="5"/>
  <c r="N10" i="5"/>
  <c r="I46" i="33" l="1"/>
  <c r="J46" i="33"/>
  <c r="K48" i="5"/>
  <c r="F48" i="5"/>
  <c r="M46" i="33"/>
  <c r="M47" i="33" s="1"/>
  <c r="M55" i="33" s="1"/>
  <c r="E47" i="33"/>
  <c r="E55" i="33" s="1"/>
  <c r="K47" i="33"/>
  <c r="K55" i="33" s="1"/>
  <c r="L46" i="33"/>
  <c r="L47" i="33" s="1"/>
  <c r="L55" i="33" s="1"/>
  <c r="G46" i="33"/>
  <c r="G47" i="33" s="1"/>
  <c r="G55" i="33" s="1"/>
  <c r="B46" i="33"/>
  <c r="B47" i="33" s="1"/>
  <c r="B55" i="33" s="1"/>
  <c r="C46" i="33"/>
  <c r="C47" i="33" s="1"/>
  <c r="C55" i="33" s="1"/>
  <c r="C19" i="5"/>
  <c r="C49" i="5" s="1"/>
  <c r="C57" i="5" s="1"/>
  <c r="K19" i="5"/>
  <c r="N17" i="5"/>
  <c r="N18" i="5" s="1"/>
  <c r="B18" i="5"/>
  <c r="B19" i="5" s="1"/>
  <c r="N14" i="5"/>
  <c r="N15" i="5" s="1"/>
  <c r="G19" i="5"/>
  <c r="F19" i="5"/>
  <c r="G48" i="5"/>
  <c r="H48" i="5"/>
  <c r="N45" i="33"/>
  <c r="H46" i="33"/>
  <c r="H47" i="33" s="1"/>
  <c r="H55" i="33" s="1"/>
  <c r="I47" i="33"/>
  <c r="I55" i="33" s="1"/>
  <c r="D47" i="33"/>
  <c r="D55" i="33" s="1"/>
  <c r="N37" i="33"/>
  <c r="J47" i="33"/>
  <c r="J55" i="33" s="1"/>
  <c r="F47" i="33"/>
  <c r="F55" i="33" s="1"/>
  <c r="D19" i="5"/>
  <c r="L19" i="5"/>
  <c r="E19" i="5"/>
  <c r="M19" i="5"/>
  <c r="H19" i="5"/>
  <c r="I19" i="5"/>
  <c r="N55" i="5"/>
  <c r="N56" i="5" s="1"/>
  <c r="D48" i="5"/>
  <c r="L48" i="5"/>
  <c r="E48" i="5"/>
  <c r="M48" i="5"/>
  <c r="I48" i="5"/>
  <c r="N47" i="5"/>
  <c r="B48" i="5"/>
  <c r="J48" i="5"/>
  <c r="J49" i="5" s="1"/>
  <c r="J57" i="5" s="1"/>
  <c r="N39" i="5"/>
  <c r="K49" i="5" l="1"/>
  <c r="K57" i="5" s="1"/>
  <c r="F49" i="5"/>
  <c r="F57" i="5" s="1"/>
  <c r="N46" i="33"/>
  <c r="N47" i="33" s="1"/>
  <c r="N55" i="33" s="1"/>
  <c r="N19" i="5"/>
  <c r="B49" i="5"/>
  <c r="B57" i="5" s="1"/>
  <c r="M49" i="5"/>
  <c r="M57" i="5" s="1"/>
  <c r="D49" i="5"/>
  <c r="D57" i="5" s="1"/>
  <c r="G49" i="5"/>
  <c r="G57" i="5" s="1"/>
  <c r="H49" i="5"/>
  <c r="H57" i="5" s="1"/>
  <c r="I49" i="5"/>
  <c r="I57" i="5" s="1"/>
  <c r="E49" i="5"/>
  <c r="E57" i="5" s="1"/>
  <c r="L49" i="5"/>
  <c r="L57" i="5" s="1"/>
  <c r="N48" i="5"/>
  <c r="N49" i="5" l="1"/>
  <c r="N57" i="5" s="1"/>
  <c r="Q44" i="27"/>
  <c r="Q43" i="27"/>
  <c r="N42" i="27"/>
  <c r="P42" i="27" s="1"/>
  <c r="N41" i="27"/>
  <c r="P41" i="27" s="1"/>
  <c r="N40" i="27"/>
  <c r="Q35" i="27"/>
  <c r="M35" i="27"/>
  <c r="L35" i="27"/>
  <c r="K35" i="27"/>
  <c r="J35" i="27"/>
  <c r="I35" i="27"/>
  <c r="H35" i="27"/>
  <c r="G35" i="27"/>
  <c r="F35" i="27"/>
  <c r="E35" i="27"/>
  <c r="D35" i="27"/>
  <c r="D36" i="27" s="1"/>
  <c r="C35" i="27"/>
  <c r="C36" i="27" s="1"/>
  <c r="B35" i="27"/>
  <c r="N34" i="27"/>
  <c r="N33" i="27"/>
  <c r="N32" i="27"/>
  <c r="N31" i="27"/>
  <c r="N30" i="27"/>
  <c r="N29" i="27"/>
  <c r="Q27" i="27"/>
  <c r="Q36" i="27" s="1"/>
  <c r="Q37" i="27" s="1"/>
  <c r="Q45" i="27" s="1"/>
  <c r="O27" i="27"/>
  <c r="M27" i="27"/>
  <c r="L27" i="27"/>
  <c r="K27" i="27"/>
  <c r="J27" i="27"/>
  <c r="I27" i="27"/>
  <c r="H27" i="27"/>
  <c r="G27" i="27"/>
  <c r="F27" i="27"/>
  <c r="E27" i="27"/>
  <c r="D27" i="27"/>
  <c r="C27" i="27"/>
  <c r="B27" i="27"/>
  <c r="N26" i="27"/>
  <c r="P26" i="27" s="1"/>
  <c r="P25" i="27"/>
  <c r="N25" i="27"/>
  <c r="P24" i="27"/>
  <c r="N24" i="27"/>
  <c r="N23" i="27"/>
  <c r="N22" i="27"/>
  <c r="P22" i="27" s="1"/>
  <c r="N21" i="27"/>
  <c r="P21" i="27" s="1"/>
  <c r="N20" i="27"/>
  <c r="P20" i="27" s="1"/>
  <c r="N19" i="27"/>
  <c r="P19" i="27" s="1"/>
  <c r="N18" i="27"/>
  <c r="P18" i="27" s="1"/>
  <c r="N17" i="27"/>
  <c r="P17" i="27" s="1"/>
  <c r="N16" i="27"/>
  <c r="P16" i="27" s="1"/>
  <c r="N15" i="27"/>
  <c r="P15" i="27" s="1"/>
  <c r="N14" i="27"/>
  <c r="P14" i="27" s="1"/>
  <c r="N13" i="27"/>
  <c r="P13" i="27" s="1"/>
  <c r="N12" i="27"/>
  <c r="P12" i="27" s="1"/>
  <c r="N11" i="27"/>
  <c r="P11" i="27" s="1"/>
  <c r="N8" i="27"/>
  <c r="M8" i="27"/>
  <c r="L8" i="27"/>
  <c r="K8" i="27"/>
  <c r="J8" i="27"/>
  <c r="I8" i="27"/>
  <c r="H8" i="27"/>
  <c r="G8" i="27"/>
  <c r="F8" i="27"/>
  <c r="E8" i="27"/>
  <c r="D8" i="27"/>
  <c r="C8" i="27"/>
  <c r="B8" i="27"/>
  <c r="N43" i="27" l="1"/>
  <c r="N44" i="27" s="1"/>
  <c r="P44" i="27" s="1"/>
  <c r="M36" i="27"/>
  <c r="M37" i="27" s="1"/>
  <c r="L36" i="27"/>
  <c r="L37" i="27" s="1"/>
  <c r="K36" i="27"/>
  <c r="K37" i="27" s="1"/>
  <c r="I36" i="27"/>
  <c r="I37" i="27" s="1"/>
  <c r="F36" i="27"/>
  <c r="F37" i="27" s="1"/>
  <c r="G36" i="27"/>
  <c r="G37" i="27" s="1"/>
  <c r="B36" i="27"/>
  <c r="B37" i="27" s="1"/>
  <c r="E36" i="27"/>
  <c r="E37" i="27" s="1"/>
  <c r="H36" i="27"/>
  <c r="H37" i="27" s="1"/>
  <c r="N35" i="27"/>
  <c r="J36" i="27"/>
  <c r="J37" i="27" s="1"/>
  <c r="C37" i="27"/>
  <c r="D37" i="27"/>
  <c r="N27" i="27"/>
  <c r="P40" i="27"/>
  <c r="P43" i="27" l="1"/>
  <c r="D50" i="1"/>
  <c r="N36" i="27"/>
  <c r="N37" i="27" s="1"/>
  <c r="N45" i="27" s="1"/>
  <c r="P45" i="27" s="1"/>
  <c r="P27" i="27"/>
  <c r="M33" i="26" l="1"/>
  <c r="L33" i="26"/>
  <c r="K33" i="26"/>
  <c r="J33" i="26"/>
  <c r="I33" i="26"/>
  <c r="H33" i="26"/>
  <c r="G33" i="26"/>
  <c r="F33" i="26"/>
  <c r="E33" i="26"/>
  <c r="D33" i="26"/>
  <c r="C33" i="26"/>
  <c r="B33" i="26"/>
  <c r="N32" i="26"/>
  <c r="N31" i="26"/>
  <c r="N30" i="26"/>
  <c r="N29" i="26"/>
  <c r="N28" i="26"/>
  <c r="M26" i="26"/>
  <c r="L26" i="26"/>
  <c r="L34" i="26" s="1"/>
  <c r="K26" i="26"/>
  <c r="J26" i="26"/>
  <c r="I26" i="26"/>
  <c r="H26" i="26"/>
  <c r="G26" i="26"/>
  <c r="F26" i="26"/>
  <c r="E26" i="26"/>
  <c r="D26" i="26"/>
  <c r="C26" i="26"/>
  <c r="B26" i="26"/>
  <c r="N25" i="26"/>
  <c r="N24" i="26"/>
  <c r="N23" i="26"/>
  <c r="N22" i="26"/>
  <c r="N21" i="26"/>
  <c r="N20" i="26"/>
  <c r="N19" i="26"/>
  <c r="N18" i="26"/>
  <c r="N17" i="26"/>
  <c r="N16" i="26"/>
  <c r="N15" i="26"/>
  <c r="N14" i="26"/>
  <c r="N13" i="26"/>
  <c r="N12" i="26"/>
  <c r="N11" i="26"/>
  <c r="N8" i="26"/>
  <c r="M8" i="26"/>
  <c r="L8" i="26"/>
  <c r="K8" i="26"/>
  <c r="J8" i="26"/>
  <c r="I8" i="26"/>
  <c r="H8" i="26"/>
  <c r="G8" i="26"/>
  <c r="F8" i="26"/>
  <c r="E8" i="26"/>
  <c r="D8" i="26"/>
  <c r="C8" i="26"/>
  <c r="B8" i="26"/>
  <c r="M34" i="26" l="1"/>
  <c r="K34" i="26"/>
  <c r="J34" i="26"/>
  <c r="J35" i="26" s="1"/>
  <c r="J36" i="26" s="1"/>
  <c r="H34" i="26"/>
  <c r="H35" i="26" s="1"/>
  <c r="H36" i="26" s="1"/>
  <c r="I34" i="26"/>
  <c r="I35" i="26" s="1"/>
  <c r="I36" i="26" s="1"/>
  <c r="L35" i="26"/>
  <c r="L36" i="26" s="1"/>
  <c r="N26" i="26"/>
  <c r="B34" i="26"/>
  <c r="B35" i="26" s="1"/>
  <c r="B36" i="26" s="1"/>
  <c r="C34" i="26"/>
  <c r="C35" i="26" s="1"/>
  <c r="C36" i="26" s="1"/>
  <c r="E34" i="26"/>
  <c r="E35" i="26" s="1"/>
  <c r="E36" i="26" s="1"/>
  <c r="D34" i="26"/>
  <c r="D35" i="26" s="1"/>
  <c r="D36" i="26" s="1"/>
  <c r="M35" i="26"/>
  <c r="M36" i="26" s="1"/>
  <c r="F34" i="26"/>
  <c r="F35" i="26" s="1"/>
  <c r="F36" i="26" s="1"/>
  <c r="G34" i="26"/>
  <c r="G35" i="26" s="1"/>
  <c r="G36" i="26" s="1"/>
  <c r="N33" i="26"/>
  <c r="K35" i="26"/>
  <c r="K36" i="26" s="1"/>
  <c r="N34" i="26" l="1"/>
  <c r="N35" i="26" s="1"/>
  <c r="N36" i="26" s="1"/>
  <c r="N36" i="35"/>
  <c r="N19" i="35"/>
  <c r="N20" i="35"/>
  <c r="N21" i="35"/>
  <c r="J43" i="1" l="1"/>
  <c r="J25" i="1"/>
  <c r="J21" i="1"/>
  <c r="H68" i="1" l="1"/>
  <c r="G68" i="1"/>
  <c r="H60" i="1"/>
  <c r="G60" i="1"/>
  <c r="G22" i="1"/>
  <c r="N37" i="3"/>
  <c r="G62" i="1" l="1"/>
  <c r="G70" i="1" s="1"/>
  <c r="H62" i="1"/>
  <c r="H70" i="1" s="1"/>
  <c r="J68" i="1"/>
  <c r="J60" i="1"/>
  <c r="J22" i="1"/>
  <c r="J62" i="1" l="1"/>
  <c r="J70" i="1" s="1"/>
  <c r="L21" i="1"/>
  <c r="L43" i="1"/>
  <c r="L25" i="1"/>
  <c r="L68" i="1" l="1"/>
  <c r="L60" i="1"/>
  <c r="L22" i="1"/>
  <c r="L62" i="1" l="1"/>
  <c r="L70" i="1" s="1"/>
  <c r="M38" i="35" l="1"/>
  <c r="M39" i="35" s="1"/>
  <c r="L38" i="35"/>
  <c r="L39" i="35" s="1"/>
  <c r="K38" i="35"/>
  <c r="K39" i="35" s="1"/>
  <c r="J38" i="35"/>
  <c r="J39" i="35" s="1"/>
  <c r="I38" i="35"/>
  <c r="I39" i="35" s="1"/>
  <c r="H38" i="35"/>
  <c r="H39" i="35" s="1"/>
  <c r="G38" i="35"/>
  <c r="G39" i="35" s="1"/>
  <c r="F38" i="35"/>
  <c r="F39" i="35" s="1"/>
  <c r="E38" i="35"/>
  <c r="E39" i="35" s="1"/>
  <c r="D38" i="35"/>
  <c r="D39" i="35" s="1"/>
  <c r="C38" i="35"/>
  <c r="C39" i="35" s="1"/>
  <c r="B38" i="35"/>
  <c r="B39" i="35" s="1"/>
  <c r="N37" i="35"/>
  <c r="M31" i="35"/>
  <c r="L31" i="35"/>
  <c r="K31" i="35"/>
  <c r="J31" i="35"/>
  <c r="I31" i="35"/>
  <c r="H31" i="35"/>
  <c r="G31" i="35"/>
  <c r="F31" i="35"/>
  <c r="E31" i="35"/>
  <c r="D31" i="35"/>
  <c r="C31" i="35"/>
  <c r="B31" i="35"/>
  <c r="N30" i="35"/>
  <c r="N29" i="35"/>
  <c r="N28" i="35"/>
  <c r="N27" i="35"/>
  <c r="N26" i="35"/>
  <c r="M24" i="35"/>
  <c r="L24" i="35"/>
  <c r="K24" i="35"/>
  <c r="J24" i="35"/>
  <c r="I24" i="35"/>
  <c r="H24" i="35"/>
  <c r="G24" i="35"/>
  <c r="F24" i="35"/>
  <c r="E24" i="35"/>
  <c r="D24" i="35"/>
  <c r="C24" i="35"/>
  <c r="B24" i="35"/>
  <c r="B32" i="35" s="1"/>
  <c r="B33" i="35" s="1"/>
  <c r="N23" i="35"/>
  <c r="N22" i="35"/>
  <c r="N18" i="35"/>
  <c r="N17" i="35"/>
  <c r="N16" i="35"/>
  <c r="N15" i="35"/>
  <c r="N14" i="35"/>
  <c r="N13" i="35"/>
  <c r="N12" i="35"/>
  <c r="N11" i="35"/>
  <c r="N8" i="35"/>
  <c r="M8" i="35"/>
  <c r="L8" i="35"/>
  <c r="K8" i="35"/>
  <c r="J8" i="35"/>
  <c r="I8" i="35"/>
  <c r="H8" i="35"/>
  <c r="G8" i="35"/>
  <c r="F8" i="35"/>
  <c r="E8" i="35"/>
  <c r="D8" i="35"/>
  <c r="C8" i="35"/>
  <c r="B8" i="35"/>
  <c r="B40" i="35" l="1"/>
  <c r="L32" i="35"/>
  <c r="L33" i="35" s="1"/>
  <c r="J32" i="35"/>
  <c r="J33" i="35" s="1"/>
  <c r="J40" i="35" s="1"/>
  <c r="N38" i="35"/>
  <c r="N39" i="35" s="1"/>
  <c r="G32" i="35"/>
  <c r="G33" i="35" s="1"/>
  <c r="G40" i="35" s="1"/>
  <c r="F32" i="35"/>
  <c r="F33" i="35" s="1"/>
  <c r="F40" i="35" s="1"/>
  <c r="E32" i="35"/>
  <c r="E33" i="35" s="1"/>
  <c r="E40" i="35" s="1"/>
  <c r="M32" i="35"/>
  <c r="M33" i="35" s="1"/>
  <c r="M40" i="35" s="1"/>
  <c r="D32" i="35"/>
  <c r="D33" i="35" s="1"/>
  <c r="D40" i="35" s="1"/>
  <c r="N24" i="35"/>
  <c r="L40" i="35"/>
  <c r="C32" i="35"/>
  <c r="C33" i="35" s="1"/>
  <c r="C40" i="35" s="1"/>
  <c r="K32" i="35"/>
  <c r="K33" i="35" s="1"/>
  <c r="K40" i="35" s="1"/>
  <c r="I32" i="35"/>
  <c r="I33" i="35" s="1"/>
  <c r="I40" i="35" s="1"/>
  <c r="H32" i="35"/>
  <c r="H33" i="35" s="1"/>
  <c r="H40" i="35" s="1"/>
  <c r="N31" i="35"/>
  <c r="N32" i="35" l="1"/>
  <c r="N33" i="35" s="1"/>
  <c r="N40" i="35" s="1"/>
  <c r="I68" i="1" l="1"/>
  <c r="I60" i="1"/>
  <c r="I22" i="1"/>
  <c r="I62" i="1" l="1"/>
  <c r="I70" i="1" s="1"/>
  <c r="D24" i="1" l="1"/>
  <c r="R24" i="1" l="1"/>
  <c r="N60" i="1"/>
  <c r="N12" i="31" l="1"/>
  <c r="N13" i="31"/>
  <c r="N14" i="31"/>
  <c r="N15" i="31"/>
  <c r="N16" i="31"/>
  <c r="N17" i="31"/>
  <c r="N18" i="31"/>
  <c r="N19" i="31"/>
  <c r="N20" i="31"/>
  <c r="N21" i="31"/>
  <c r="N22" i="31"/>
  <c r="N23" i="31"/>
  <c r="N24" i="31"/>
  <c r="N26" i="31"/>
  <c r="N15" i="3" l="1"/>
  <c r="N12" i="3"/>
  <c r="K68" i="1"/>
  <c r="K60" i="1"/>
  <c r="K22" i="1"/>
  <c r="K62" i="1" l="1"/>
  <c r="K70" i="1" s="1"/>
  <c r="O19" i="2" l="1"/>
  <c r="P18" i="2"/>
  <c r="P30" i="2" l="1"/>
  <c r="P31" i="2" s="1"/>
  <c r="O30" i="2"/>
  <c r="O31" i="2" s="1"/>
  <c r="O25" i="2"/>
  <c r="O22" i="2"/>
  <c r="P22" i="2"/>
  <c r="P8" i="2"/>
  <c r="O8" i="2"/>
  <c r="O26" i="2" l="1"/>
  <c r="D34" i="1" l="1"/>
  <c r="D33" i="1" l="1"/>
  <c r="D54" i="1" l="1"/>
  <c r="N19" i="32"/>
  <c r="N23" i="30"/>
  <c r="D18" i="1" l="1"/>
  <c r="N16" i="4" l="1"/>
  <c r="N22" i="1" l="1"/>
  <c r="N68" i="1"/>
  <c r="N24" i="2" l="1"/>
  <c r="N62" i="1"/>
  <c r="N70" i="1" s="1"/>
  <c r="P24" i="2" l="1"/>
  <c r="P25" i="2" s="1"/>
  <c r="D8" i="1"/>
  <c r="D42" i="1"/>
  <c r="D31" i="1" l="1"/>
  <c r="D41" i="1"/>
  <c r="R42" i="1" l="1"/>
  <c r="R41" i="1"/>
  <c r="D38" i="1" l="1"/>
  <c r="D29" i="1" l="1"/>
  <c r="D39" i="1" l="1"/>
  <c r="D44" i="1"/>
  <c r="R44" i="1" l="1"/>
  <c r="R38" i="1"/>
  <c r="R39" i="1"/>
  <c r="D30" i="1"/>
  <c r="R30" i="1" l="1"/>
  <c r="R40" i="1"/>
  <c r="D43" i="1"/>
  <c r="R43" i="1" l="1"/>
  <c r="D35" i="1"/>
  <c r="R34" i="1" s="1"/>
  <c r="R35" i="1" l="1"/>
  <c r="D45" i="1"/>
  <c r="R33" i="1" l="1"/>
  <c r="R45" i="1"/>
  <c r="D37" i="1"/>
  <c r="R37" i="1" l="1"/>
  <c r="D36" i="1"/>
  <c r="R31" i="1" l="1"/>
  <c r="R36" i="1"/>
  <c r="D27" i="1"/>
  <c r="R27" i="1" s="1"/>
  <c r="D26" i="1"/>
  <c r="R26" i="1" s="1"/>
  <c r="D25" i="1" l="1"/>
  <c r="R25" i="1" l="1"/>
  <c r="Q45" i="1"/>
  <c r="T45" i="1" s="1"/>
  <c r="D53" i="1"/>
  <c r="L22" i="32"/>
  <c r="K22" i="32"/>
  <c r="J22" i="32"/>
  <c r="G22" i="32"/>
  <c r="F22" i="32"/>
  <c r="D22" i="32"/>
  <c r="M30" i="32"/>
  <c r="L30" i="32"/>
  <c r="K30" i="32"/>
  <c r="J30" i="32"/>
  <c r="I30" i="32"/>
  <c r="H30" i="32"/>
  <c r="G30" i="32"/>
  <c r="F30" i="32"/>
  <c r="E30" i="32"/>
  <c r="D30" i="32"/>
  <c r="C30" i="32"/>
  <c r="B30" i="32"/>
  <c r="N29" i="32"/>
  <c r="N28" i="32"/>
  <c r="N27" i="32"/>
  <c r="N26" i="32"/>
  <c r="N25" i="32"/>
  <c r="N24" i="32"/>
  <c r="M22" i="32"/>
  <c r="I22" i="32"/>
  <c r="H22" i="32"/>
  <c r="E22" i="32"/>
  <c r="B22" i="32"/>
  <c r="B31" i="32" s="1"/>
  <c r="N21" i="32"/>
  <c r="N17" i="32"/>
  <c r="N16" i="32"/>
  <c r="N15" i="32"/>
  <c r="N14" i="32"/>
  <c r="N13" i="32"/>
  <c r="N12" i="32"/>
  <c r="N11" i="32"/>
  <c r="N8" i="32"/>
  <c r="M8" i="32"/>
  <c r="L8" i="32"/>
  <c r="K8" i="32"/>
  <c r="J8" i="32"/>
  <c r="I8" i="32"/>
  <c r="H8" i="32"/>
  <c r="G8" i="32"/>
  <c r="F8" i="32"/>
  <c r="E8" i="32"/>
  <c r="D8" i="32"/>
  <c r="C8" i="32"/>
  <c r="B8" i="32"/>
  <c r="H31" i="32" l="1"/>
  <c r="G31" i="32"/>
  <c r="G32" i="32" s="1"/>
  <c r="G33" i="32" s="1"/>
  <c r="D31" i="32"/>
  <c r="D32" i="32" s="1"/>
  <c r="D33" i="32" s="1"/>
  <c r="J31" i="32"/>
  <c r="J32" i="32" s="1"/>
  <c r="J33" i="32" s="1"/>
  <c r="L31" i="32"/>
  <c r="L32" i="32" s="1"/>
  <c r="L33" i="32" s="1"/>
  <c r="I31" i="32"/>
  <c r="I32" i="32" s="1"/>
  <c r="I33" i="32" s="1"/>
  <c r="F31" i="32"/>
  <c r="F32" i="32" s="1"/>
  <c r="F33" i="32" s="1"/>
  <c r="K31" i="32"/>
  <c r="K32" i="32" s="1"/>
  <c r="K33" i="32" s="1"/>
  <c r="M31" i="32"/>
  <c r="M32" i="32" s="1"/>
  <c r="M33" i="32" s="1"/>
  <c r="N30" i="32"/>
  <c r="E31" i="32"/>
  <c r="E32" i="32" s="1"/>
  <c r="E33" i="32" s="1"/>
  <c r="H32" i="32"/>
  <c r="H33" i="32" s="1"/>
  <c r="N20" i="32"/>
  <c r="C22" i="32"/>
  <c r="C31" i="32" s="1"/>
  <c r="C32" i="32" s="1"/>
  <c r="C33" i="32" s="1"/>
  <c r="B32" i="32"/>
  <c r="B33" i="32" s="1"/>
  <c r="N22" i="32" l="1"/>
  <c r="N31" i="32" s="1"/>
  <c r="N32" i="32" s="1"/>
  <c r="N33" i="32" s="1"/>
  <c r="D58" i="1" s="1"/>
  <c r="M35" i="31"/>
  <c r="L35" i="31"/>
  <c r="K35" i="31"/>
  <c r="J35" i="31"/>
  <c r="I35" i="31"/>
  <c r="H35" i="31"/>
  <c r="G35" i="31"/>
  <c r="F35" i="31"/>
  <c r="E35" i="31"/>
  <c r="D35" i="31"/>
  <c r="C35" i="31"/>
  <c r="B35" i="31"/>
  <c r="N34" i="31"/>
  <c r="N33" i="31"/>
  <c r="N32" i="31"/>
  <c r="N31" i="31"/>
  <c r="N30" i="31"/>
  <c r="N29" i="31"/>
  <c r="M27" i="31"/>
  <c r="L27" i="31"/>
  <c r="L36" i="31" s="1"/>
  <c r="K27" i="31"/>
  <c r="J27" i="31"/>
  <c r="J36" i="31" s="1"/>
  <c r="I27" i="31"/>
  <c r="H27" i="31"/>
  <c r="H36" i="31" s="1"/>
  <c r="G27" i="31"/>
  <c r="F27" i="31"/>
  <c r="E27" i="31"/>
  <c r="E36" i="31" s="1"/>
  <c r="D27" i="31"/>
  <c r="D36" i="31" s="1"/>
  <c r="C27" i="31"/>
  <c r="B27" i="31"/>
  <c r="N8" i="31"/>
  <c r="M8" i="31"/>
  <c r="L8" i="31"/>
  <c r="K8" i="31"/>
  <c r="J8" i="31"/>
  <c r="I8" i="31"/>
  <c r="H8" i="31"/>
  <c r="G8" i="31"/>
  <c r="F8" i="31"/>
  <c r="E8" i="31"/>
  <c r="D8" i="31"/>
  <c r="C8" i="31"/>
  <c r="B8" i="31"/>
  <c r="B36" i="31" l="1"/>
  <c r="K36" i="31"/>
  <c r="K37" i="31" s="1"/>
  <c r="K38" i="31" s="1"/>
  <c r="C36" i="31"/>
  <c r="C37" i="31" s="1"/>
  <c r="C38" i="31" s="1"/>
  <c r="I36" i="31"/>
  <c r="I37" i="31" s="1"/>
  <c r="I38" i="31" s="1"/>
  <c r="M36" i="31"/>
  <c r="M37" i="31" s="1"/>
  <c r="M38" i="31" s="1"/>
  <c r="H37" i="31"/>
  <c r="H38" i="31" s="1"/>
  <c r="G36" i="31"/>
  <c r="G37" i="31" s="1"/>
  <c r="G38" i="31" s="1"/>
  <c r="N35" i="31"/>
  <c r="E37" i="31"/>
  <c r="E38" i="31" s="1"/>
  <c r="L37" i="31"/>
  <c r="L38" i="31" s="1"/>
  <c r="D37" i="31"/>
  <c r="D38" i="31" s="1"/>
  <c r="F36" i="31"/>
  <c r="F37" i="31" s="1"/>
  <c r="F38" i="31" s="1"/>
  <c r="B37" i="31"/>
  <c r="B38" i="31" s="1"/>
  <c r="J37" i="31"/>
  <c r="J38" i="31" s="1"/>
  <c r="N11" i="31"/>
  <c r="N27" i="31" l="1"/>
  <c r="N36" i="31" s="1"/>
  <c r="N37" i="31" s="1"/>
  <c r="N38" i="31" s="1"/>
  <c r="D57" i="1" s="1"/>
  <c r="M39" i="30"/>
  <c r="L39" i="30"/>
  <c r="K39" i="30"/>
  <c r="J39" i="30"/>
  <c r="I39" i="30"/>
  <c r="H39" i="30"/>
  <c r="G39" i="30"/>
  <c r="F39" i="30"/>
  <c r="E39" i="30"/>
  <c r="D39" i="30"/>
  <c r="C39" i="30"/>
  <c r="B39" i="30"/>
  <c r="N38" i="30"/>
  <c r="N37" i="30"/>
  <c r="N36" i="30"/>
  <c r="N35" i="30"/>
  <c r="N34" i="30"/>
  <c r="N33" i="30"/>
  <c r="N32" i="30"/>
  <c r="M30" i="30"/>
  <c r="L30" i="30"/>
  <c r="K30" i="30"/>
  <c r="K40" i="30" s="1"/>
  <c r="J30" i="30"/>
  <c r="I30" i="30"/>
  <c r="H30" i="30"/>
  <c r="G30" i="30"/>
  <c r="F30" i="30"/>
  <c r="E30" i="30"/>
  <c r="D30" i="30"/>
  <c r="C30" i="30"/>
  <c r="B30" i="30"/>
  <c r="N29" i="30"/>
  <c r="N28" i="30"/>
  <c r="N27" i="30"/>
  <c r="N26" i="30"/>
  <c r="N25" i="30"/>
  <c r="N24" i="30"/>
  <c r="N22" i="30"/>
  <c r="N21" i="30"/>
  <c r="N20" i="30"/>
  <c r="N19" i="30"/>
  <c r="N18" i="30"/>
  <c r="N17" i="30"/>
  <c r="N16" i="30"/>
  <c r="N15" i="30"/>
  <c r="N14" i="30"/>
  <c r="N13" i="30"/>
  <c r="N12" i="30"/>
  <c r="N11" i="30"/>
  <c r="N8" i="30"/>
  <c r="M8" i="30"/>
  <c r="L8" i="30"/>
  <c r="K8" i="30"/>
  <c r="J8" i="30"/>
  <c r="I8" i="30"/>
  <c r="H8" i="30"/>
  <c r="G8" i="30"/>
  <c r="F8" i="30"/>
  <c r="E8" i="30"/>
  <c r="D8" i="30"/>
  <c r="C8" i="30"/>
  <c r="B8" i="30"/>
  <c r="E40" i="30" l="1"/>
  <c r="M40" i="30"/>
  <c r="M41" i="30" s="1"/>
  <c r="M42" i="30" s="1"/>
  <c r="D40" i="30"/>
  <c r="C40" i="30"/>
  <c r="C41" i="30" s="1"/>
  <c r="C42" i="30" s="1"/>
  <c r="I40" i="30"/>
  <c r="I41" i="30" s="1"/>
  <c r="I42" i="30" s="1"/>
  <c r="L40" i="30"/>
  <c r="L41" i="30" s="1"/>
  <c r="L42" i="30" s="1"/>
  <c r="M60" i="1"/>
  <c r="D41" i="30"/>
  <c r="D42" i="30" s="1"/>
  <c r="N30" i="30"/>
  <c r="G40" i="30"/>
  <c r="G41" i="30" s="1"/>
  <c r="G42" i="30" s="1"/>
  <c r="H40" i="30"/>
  <c r="H41" i="30" s="1"/>
  <c r="H42" i="30" s="1"/>
  <c r="F40" i="30"/>
  <c r="F41" i="30" s="1"/>
  <c r="F42" i="30" s="1"/>
  <c r="K41" i="30"/>
  <c r="K42" i="30" s="1"/>
  <c r="E41" i="30"/>
  <c r="E42" i="30" s="1"/>
  <c r="N39" i="30"/>
  <c r="B40" i="30"/>
  <c r="B41" i="30" s="1"/>
  <c r="B42" i="30" s="1"/>
  <c r="J40" i="30"/>
  <c r="J41" i="30" s="1"/>
  <c r="J42" i="30" s="1"/>
  <c r="N40" i="30" l="1"/>
  <c r="N41" i="30" s="1"/>
  <c r="N42" i="30" s="1"/>
  <c r="D56" i="1" s="1"/>
  <c r="D52" i="1"/>
  <c r="D51" i="1" l="1"/>
  <c r="D48" i="1" l="1"/>
  <c r="M46" i="4" l="1"/>
  <c r="L46" i="4"/>
  <c r="K46" i="4"/>
  <c r="J46" i="4"/>
  <c r="I46" i="4"/>
  <c r="H46" i="4"/>
  <c r="G46" i="4"/>
  <c r="F46" i="4"/>
  <c r="E46" i="4"/>
  <c r="D46" i="4"/>
  <c r="C46" i="4"/>
  <c r="B46" i="4"/>
  <c r="N45" i="4"/>
  <c r="N44" i="4"/>
  <c r="M42" i="4"/>
  <c r="M47" i="4" s="1"/>
  <c r="L42" i="4"/>
  <c r="K42" i="4"/>
  <c r="J42" i="4"/>
  <c r="I42" i="4"/>
  <c r="H42" i="4"/>
  <c r="G42" i="4"/>
  <c r="F42" i="4"/>
  <c r="E42" i="4"/>
  <c r="E47" i="4" s="1"/>
  <c r="D42" i="4"/>
  <c r="C42" i="4"/>
  <c r="B42" i="4"/>
  <c r="N41" i="4"/>
  <c r="N40" i="4"/>
  <c r="M38" i="4"/>
  <c r="L38" i="4"/>
  <c r="K38" i="4"/>
  <c r="J38" i="4"/>
  <c r="I38" i="4"/>
  <c r="H38" i="4"/>
  <c r="G38" i="4"/>
  <c r="F38" i="4"/>
  <c r="E38" i="4"/>
  <c r="D38" i="4"/>
  <c r="C38" i="4"/>
  <c r="B38" i="4"/>
  <c r="N37" i="4"/>
  <c r="N38" i="4" s="1"/>
  <c r="M32" i="4"/>
  <c r="L32" i="4"/>
  <c r="K32" i="4"/>
  <c r="J32" i="4"/>
  <c r="I32" i="4"/>
  <c r="H32" i="4"/>
  <c r="G32" i="4"/>
  <c r="F32" i="4"/>
  <c r="E32" i="4"/>
  <c r="D32" i="4"/>
  <c r="C32" i="4"/>
  <c r="B32" i="4"/>
  <c r="N31" i="4"/>
  <c r="N30" i="4"/>
  <c r="N29" i="4"/>
  <c r="N28" i="4"/>
  <c r="N27" i="4"/>
  <c r="N26" i="4"/>
  <c r="M24" i="4"/>
  <c r="M33" i="4" s="1"/>
  <c r="L24" i="4"/>
  <c r="L33" i="4" s="1"/>
  <c r="K24" i="4"/>
  <c r="K33" i="4" s="1"/>
  <c r="J24" i="4"/>
  <c r="J33" i="4" s="1"/>
  <c r="I24" i="4"/>
  <c r="H24" i="4"/>
  <c r="G24" i="4"/>
  <c r="F24" i="4"/>
  <c r="F33" i="4" s="1"/>
  <c r="E24" i="4"/>
  <c r="E33" i="4" s="1"/>
  <c r="D24" i="4"/>
  <c r="D33" i="4" s="1"/>
  <c r="C24" i="4"/>
  <c r="C33" i="4" s="1"/>
  <c r="B24" i="4"/>
  <c r="B33" i="4" s="1"/>
  <c r="N23" i="4"/>
  <c r="N22" i="4"/>
  <c r="N21" i="4"/>
  <c r="N20" i="4"/>
  <c r="N19" i="4"/>
  <c r="N18" i="4"/>
  <c r="N17" i="4"/>
  <c r="N15" i="4"/>
  <c r="N14" i="4"/>
  <c r="N13" i="4"/>
  <c r="N12" i="4"/>
  <c r="N11" i="4"/>
  <c r="N8" i="4"/>
  <c r="M8" i="4"/>
  <c r="L8" i="4"/>
  <c r="K8" i="4"/>
  <c r="J8" i="4"/>
  <c r="I8" i="4"/>
  <c r="H8" i="4"/>
  <c r="G8" i="4"/>
  <c r="F8" i="4"/>
  <c r="E8" i="4"/>
  <c r="D8" i="4"/>
  <c r="C8" i="4"/>
  <c r="B8" i="4"/>
  <c r="D34" i="4" l="1"/>
  <c r="B34" i="4"/>
  <c r="F47" i="4"/>
  <c r="J34" i="4"/>
  <c r="N42" i="4"/>
  <c r="L34" i="4"/>
  <c r="E34" i="4"/>
  <c r="E48" i="4" s="1"/>
  <c r="M34" i="4"/>
  <c r="M48" i="4" s="1"/>
  <c r="H47" i="4"/>
  <c r="G47" i="4"/>
  <c r="N24" i="4"/>
  <c r="F34" i="4"/>
  <c r="N32" i="4"/>
  <c r="I47" i="4"/>
  <c r="G33" i="4"/>
  <c r="G34" i="4" s="1"/>
  <c r="B47" i="4"/>
  <c r="B48" i="4" s="1"/>
  <c r="J47" i="4"/>
  <c r="J48" i="4" s="1"/>
  <c r="N46" i="4"/>
  <c r="H33" i="4"/>
  <c r="H34" i="4" s="1"/>
  <c r="C47" i="4"/>
  <c r="K47" i="4"/>
  <c r="C34" i="4"/>
  <c r="K34" i="4"/>
  <c r="I33" i="4"/>
  <c r="I34" i="4" s="1"/>
  <c r="D47" i="4"/>
  <c r="D48" i="4" s="1"/>
  <c r="L47" i="4"/>
  <c r="F48" i="4" l="1"/>
  <c r="N47" i="4"/>
  <c r="L48" i="4"/>
  <c r="I48" i="4"/>
  <c r="G48" i="4"/>
  <c r="K48" i="4"/>
  <c r="H48" i="4"/>
  <c r="C48" i="4"/>
  <c r="N33" i="4"/>
  <c r="N34" i="4" s="1"/>
  <c r="N48" i="4" l="1"/>
  <c r="D15" i="1" s="1"/>
  <c r="M38" i="3"/>
  <c r="L38" i="3"/>
  <c r="K38" i="3"/>
  <c r="J38" i="3"/>
  <c r="I38" i="3"/>
  <c r="H38" i="3"/>
  <c r="G38" i="3"/>
  <c r="F38" i="3"/>
  <c r="E38" i="3"/>
  <c r="D38" i="3"/>
  <c r="C38" i="3"/>
  <c r="B38" i="3"/>
  <c r="N38" i="3"/>
  <c r="M35" i="3"/>
  <c r="L35" i="3"/>
  <c r="K35" i="3"/>
  <c r="J35" i="3"/>
  <c r="I35" i="3"/>
  <c r="H35" i="3"/>
  <c r="G35" i="3"/>
  <c r="F35" i="3"/>
  <c r="E35" i="3"/>
  <c r="E39" i="3" s="1"/>
  <c r="D35" i="3"/>
  <c r="D39" i="3" s="1"/>
  <c r="C35" i="3"/>
  <c r="B35" i="3"/>
  <c r="N34" i="3"/>
  <c r="N33" i="3"/>
  <c r="M28" i="3"/>
  <c r="L28" i="3"/>
  <c r="K28" i="3"/>
  <c r="J28" i="3"/>
  <c r="I28" i="3"/>
  <c r="H28" i="3"/>
  <c r="G28" i="3"/>
  <c r="F28" i="3"/>
  <c r="E28" i="3"/>
  <c r="D28" i="3"/>
  <c r="C28" i="3"/>
  <c r="B28" i="3"/>
  <c r="N27" i="3"/>
  <c r="N26" i="3"/>
  <c r="N25" i="3"/>
  <c r="N24" i="3"/>
  <c r="N23" i="3"/>
  <c r="M21" i="3"/>
  <c r="L21" i="3"/>
  <c r="K21" i="3"/>
  <c r="J21" i="3"/>
  <c r="I21" i="3"/>
  <c r="I29" i="3" s="1"/>
  <c r="H21" i="3"/>
  <c r="G21" i="3"/>
  <c r="G29" i="3" s="1"/>
  <c r="F21" i="3"/>
  <c r="F29" i="3" s="1"/>
  <c r="E21" i="3"/>
  <c r="E29" i="3" s="1"/>
  <c r="D21" i="3"/>
  <c r="D29" i="3" s="1"/>
  <c r="C21" i="3"/>
  <c r="B21" i="3"/>
  <c r="N20" i="3"/>
  <c r="N19" i="3"/>
  <c r="N18" i="3"/>
  <c r="N17" i="3"/>
  <c r="N16" i="3"/>
  <c r="N14" i="3"/>
  <c r="N13" i="3"/>
  <c r="N11" i="3"/>
  <c r="N8" i="3"/>
  <c r="M8" i="3"/>
  <c r="L8" i="3"/>
  <c r="K8" i="3"/>
  <c r="J8" i="3"/>
  <c r="I8" i="3"/>
  <c r="H8" i="3"/>
  <c r="G8" i="3"/>
  <c r="F8" i="3"/>
  <c r="E8" i="3"/>
  <c r="D8" i="3"/>
  <c r="C8" i="3"/>
  <c r="B8" i="3"/>
  <c r="J39" i="3" l="1"/>
  <c r="F39" i="3"/>
  <c r="B39" i="3"/>
  <c r="L29" i="3"/>
  <c r="L30" i="3" s="1"/>
  <c r="H29" i="3"/>
  <c r="H30" i="3" s="1"/>
  <c r="I30" i="3"/>
  <c r="L39" i="3"/>
  <c r="M39" i="3"/>
  <c r="I39" i="3"/>
  <c r="M29" i="3"/>
  <c r="M30" i="3" s="1"/>
  <c r="C29" i="3"/>
  <c r="C30" i="3" s="1"/>
  <c r="K29" i="3"/>
  <c r="K30" i="3" s="1"/>
  <c r="N28" i="3"/>
  <c r="N35" i="3"/>
  <c r="N39" i="3" s="1"/>
  <c r="H39" i="3"/>
  <c r="D30" i="3"/>
  <c r="D40" i="3" s="1"/>
  <c r="E30" i="3"/>
  <c r="E40" i="3" s="1"/>
  <c r="G30" i="3"/>
  <c r="N21" i="3"/>
  <c r="B29" i="3"/>
  <c r="B30" i="3" s="1"/>
  <c r="J29" i="3"/>
  <c r="J30" i="3" s="1"/>
  <c r="J40" i="3" s="1"/>
  <c r="D49" i="1"/>
  <c r="K39" i="3"/>
  <c r="C39" i="3"/>
  <c r="G39" i="3"/>
  <c r="F30" i="3"/>
  <c r="F40" i="3" l="1"/>
  <c r="B40" i="3"/>
  <c r="M40" i="3"/>
  <c r="I40" i="3"/>
  <c r="H40" i="3"/>
  <c r="C40" i="3"/>
  <c r="L40" i="3"/>
  <c r="N29" i="3"/>
  <c r="N30" i="3" s="1"/>
  <c r="N40" i="3" s="1"/>
  <c r="D14" i="1" s="1"/>
  <c r="G40" i="3"/>
  <c r="K40" i="3"/>
  <c r="M30" i="2"/>
  <c r="M31" i="2" s="1"/>
  <c r="L30" i="2"/>
  <c r="L31" i="2" s="1"/>
  <c r="K30" i="2"/>
  <c r="K31" i="2" s="1"/>
  <c r="J30" i="2"/>
  <c r="J31" i="2" s="1"/>
  <c r="I30" i="2"/>
  <c r="I31" i="2" s="1"/>
  <c r="H30" i="2"/>
  <c r="H31" i="2" s="1"/>
  <c r="G30" i="2"/>
  <c r="G31" i="2" s="1"/>
  <c r="F30" i="2"/>
  <c r="F31" i="2" s="1"/>
  <c r="E30" i="2"/>
  <c r="E31" i="2" s="1"/>
  <c r="D30" i="2"/>
  <c r="D31" i="2" s="1"/>
  <c r="C30" i="2"/>
  <c r="C31" i="2" s="1"/>
  <c r="B30" i="2"/>
  <c r="B31" i="2" s="1"/>
  <c r="N29" i="2"/>
  <c r="B25" i="2"/>
  <c r="M22" i="2"/>
  <c r="L22" i="2"/>
  <c r="K22" i="2"/>
  <c r="J22" i="2"/>
  <c r="I22" i="2"/>
  <c r="H22" i="2"/>
  <c r="G22" i="2"/>
  <c r="F22" i="2"/>
  <c r="E22" i="2"/>
  <c r="D22" i="2"/>
  <c r="C22" i="2"/>
  <c r="B22" i="2"/>
  <c r="N21" i="2"/>
  <c r="B19" i="2"/>
  <c r="L13" i="2"/>
  <c r="D13" i="2"/>
  <c r="M12" i="2"/>
  <c r="M13" i="2" s="1"/>
  <c r="L12" i="2"/>
  <c r="K12" i="2"/>
  <c r="K13" i="2" s="1"/>
  <c r="J12" i="2"/>
  <c r="J13" i="2" s="1"/>
  <c r="I12" i="2"/>
  <c r="I13" i="2" s="1"/>
  <c r="H12" i="2"/>
  <c r="H13" i="2" s="1"/>
  <c r="G12" i="2"/>
  <c r="G13" i="2" s="1"/>
  <c r="F12" i="2"/>
  <c r="F13" i="2" s="1"/>
  <c r="E12" i="2"/>
  <c r="E13" i="2" s="1"/>
  <c r="D12" i="2"/>
  <c r="C12" i="2"/>
  <c r="C13" i="2" s="1"/>
  <c r="B12" i="2"/>
  <c r="B13" i="2" s="1"/>
  <c r="N11" i="2"/>
  <c r="N8" i="2"/>
  <c r="M8" i="2"/>
  <c r="L8" i="2"/>
  <c r="K8" i="2"/>
  <c r="J8" i="2"/>
  <c r="I8" i="2"/>
  <c r="H8" i="2"/>
  <c r="G8" i="2"/>
  <c r="F8" i="2"/>
  <c r="E8" i="2"/>
  <c r="D8" i="2"/>
  <c r="D14" i="2" s="1"/>
  <c r="C8" i="2"/>
  <c r="B8" i="2"/>
  <c r="B26" i="2" l="1"/>
  <c r="M22" i="1"/>
  <c r="M62" i="1" s="1"/>
  <c r="G14" i="2"/>
  <c r="N12" i="2"/>
  <c r="N13" i="2" s="1"/>
  <c r="O11" i="2"/>
  <c r="O12" i="2" s="1"/>
  <c r="O13" i="2" s="1"/>
  <c r="O14" i="2" s="1"/>
  <c r="O32" i="2" s="1"/>
  <c r="P11" i="2"/>
  <c r="P12" i="2" s="1"/>
  <c r="P13" i="2" s="1"/>
  <c r="P14" i="2" s="1"/>
  <c r="D12" i="1"/>
  <c r="D22" i="1" s="1"/>
  <c r="M67" i="1"/>
  <c r="D67" i="1"/>
  <c r="C14" i="2"/>
  <c r="K14" i="2"/>
  <c r="L14" i="2"/>
  <c r="N30" i="2"/>
  <c r="N31" i="2" s="1"/>
  <c r="N22" i="2"/>
  <c r="H14" i="2"/>
  <c r="E14" i="2"/>
  <c r="M14" i="2"/>
  <c r="I14" i="2"/>
  <c r="B14" i="2"/>
  <c r="F14" i="2"/>
  <c r="J14" i="2"/>
  <c r="N14" i="2"/>
  <c r="C17" i="2"/>
  <c r="B32" i="2" l="1"/>
  <c r="C25" i="2"/>
  <c r="C19" i="2"/>
  <c r="D17" i="2"/>
  <c r="C26" i="2" l="1"/>
  <c r="C32" i="2" s="1"/>
  <c r="D19" i="2"/>
  <c r="E17" i="2"/>
  <c r="D25" i="2"/>
  <c r="D26" i="2" l="1"/>
  <c r="D32" i="2" s="1"/>
  <c r="E25" i="2"/>
  <c r="E19" i="2"/>
  <c r="F17" i="2"/>
  <c r="E26" i="2" l="1"/>
  <c r="E32" i="2" s="1"/>
  <c r="F25" i="2"/>
  <c r="F19" i="2"/>
  <c r="G17" i="2"/>
  <c r="F26" i="2" l="1"/>
  <c r="F32" i="2" s="1"/>
  <c r="G25" i="2"/>
  <c r="G19" i="2"/>
  <c r="H17" i="2"/>
  <c r="G26" i="2" l="1"/>
  <c r="G32" i="2" s="1"/>
  <c r="H19" i="2"/>
  <c r="I17" i="2"/>
  <c r="H25" i="2"/>
  <c r="I25" i="2" l="1"/>
  <c r="I19" i="2"/>
  <c r="J17" i="2"/>
  <c r="H26" i="2"/>
  <c r="H32" i="2" s="1"/>
  <c r="I26" i="2" l="1"/>
  <c r="I32" i="2" s="1"/>
  <c r="J19" i="2"/>
  <c r="K17" i="2"/>
  <c r="J25" i="2"/>
  <c r="K19" i="2" l="1"/>
  <c r="L17" i="2"/>
  <c r="K25" i="2"/>
  <c r="J26" i="2"/>
  <c r="J32" i="2" s="1"/>
  <c r="K26" i="2" l="1"/>
  <c r="K32" i="2" s="1"/>
  <c r="L25" i="2"/>
  <c r="L19" i="2"/>
  <c r="M17" i="2"/>
  <c r="L26" i="2" l="1"/>
  <c r="L32" i="2" s="1"/>
  <c r="M19" i="2"/>
  <c r="N17" i="2"/>
  <c r="N19" i="2" s="1"/>
  <c r="M25" i="2"/>
  <c r="P17" i="2" l="1"/>
  <c r="D64" i="1"/>
  <c r="M68" i="1"/>
  <c r="M70" i="1" s="1"/>
  <c r="N25" i="2"/>
  <c r="N26" i="2" s="1"/>
  <c r="N32" i="2" s="1"/>
  <c r="M26" i="2"/>
  <c r="M32" i="2" s="1"/>
  <c r="P19" i="2" l="1"/>
  <c r="P26" i="2" s="1"/>
  <c r="P32" i="2" s="1"/>
  <c r="D68" i="1"/>
  <c r="AH103" i="1"/>
  <c r="AH102" i="1"/>
  <c r="AH100" i="1"/>
  <c r="AH99" i="1"/>
  <c r="S98" i="1"/>
  <c r="S97" i="1"/>
  <c r="S95" i="1"/>
  <c r="S94" i="1"/>
  <c r="P68" i="1"/>
  <c r="P77" i="1" s="1"/>
  <c r="O68" i="1"/>
  <c r="O60" i="1"/>
  <c r="P43" i="1"/>
  <c r="AH38" i="1"/>
  <c r="AR36" i="1"/>
  <c r="AR35" i="1"/>
  <c r="AS21" i="1" s="1"/>
  <c r="B33" i="1"/>
  <c r="P25" i="1"/>
  <c r="AJ24" i="1"/>
  <c r="AI24" i="1"/>
  <c r="AH24" i="1"/>
  <c r="AG24" i="1"/>
  <c r="AF24" i="1"/>
  <c r="AE24" i="1"/>
  <c r="O22" i="1"/>
  <c r="P21" i="1"/>
  <c r="P12" i="1"/>
  <c r="P22" i="1" s="1"/>
  <c r="P60" i="1" l="1"/>
  <c r="P62" i="1" s="1"/>
  <c r="P70" i="1" s="1"/>
  <c r="P83" i="1" s="1"/>
  <c r="O62" i="1"/>
  <c r="O70" i="1" s="1"/>
  <c r="P74" i="1"/>
  <c r="P75" i="1" s="1"/>
  <c r="D32" i="1" l="1"/>
  <c r="R32" i="1" s="1"/>
  <c r="D60" i="1" l="1"/>
  <c r="D62" i="1" s="1"/>
  <c r="R29" i="1" l="1"/>
  <c r="D70" i="1"/>
  <c r="D114" i="1" l="1"/>
  <c r="D119" i="1"/>
</calcChain>
</file>

<file path=xl/sharedStrings.xml><?xml version="1.0" encoding="utf-8"?>
<sst xmlns="http://schemas.openxmlformats.org/spreadsheetml/2006/main" count="1988" uniqueCount="407">
  <si>
    <t>UWA STUDENT GUILD</t>
  </si>
  <si>
    <t>STATEMENT OF SOURCES AND APPLICATIONS OF FUNDS</t>
  </si>
  <si>
    <t>2025 ANNUAL Budget Review</t>
  </si>
  <si>
    <t>Divisions</t>
  </si>
  <si>
    <t>2025 Full Year</t>
  </si>
  <si>
    <t>2024 Full Year</t>
  </si>
  <si>
    <t>2024</t>
  </si>
  <si>
    <t>2023 Full Year</t>
  </si>
  <si>
    <t>2023</t>
  </si>
  <si>
    <t>2022 Full Year</t>
  </si>
  <si>
    <t>2022</t>
  </si>
  <si>
    <t>2021 Full Year</t>
  </si>
  <si>
    <t>2021</t>
  </si>
  <si>
    <t>2020 Full Year</t>
  </si>
  <si>
    <t>2020</t>
  </si>
  <si>
    <t>2019 Full Year</t>
  </si>
  <si>
    <t>2019</t>
  </si>
  <si>
    <t>GL Code</t>
  </si>
  <si>
    <t>Budget</t>
  </si>
  <si>
    <t>Actual Forecast</t>
  </si>
  <si>
    <t>Actual</t>
  </si>
  <si>
    <t>MEMBERSHIP REVENUE</t>
  </si>
  <si>
    <t>103034 - SSAF</t>
  </si>
  <si>
    <t>INVESTMENTS</t>
  </si>
  <si>
    <t>SSAF</t>
  </si>
  <si>
    <t>103035 - Associate Membership Fee</t>
  </si>
  <si>
    <t>305102 - Bank Charges</t>
  </si>
  <si>
    <t>305083 - Advertising &amp; Promotion</t>
  </si>
  <si>
    <t>Associate Membership</t>
  </si>
  <si>
    <t>COMMERCIAL</t>
  </si>
  <si>
    <t>100k</t>
  </si>
  <si>
    <t>Net Profit/(Loss)</t>
  </si>
  <si>
    <t>PROPERTY SERVICES</t>
  </si>
  <si>
    <t>Property</t>
  </si>
  <si>
    <t>60k</t>
  </si>
  <si>
    <t>PROPERTY CATERING</t>
  </si>
  <si>
    <t>Catering Property</t>
  </si>
  <si>
    <t>SECOND HAND BOOKSHOP</t>
  </si>
  <si>
    <t>Guild Bookshop</t>
  </si>
  <si>
    <t>UWA merchandise</t>
  </si>
  <si>
    <t>2015 data</t>
  </si>
  <si>
    <t>Functions</t>
  </si>
  <si>
    <t>Tavern</t>
  </si>
  <si>
    <t>p12 2016</t>
  </si>
  <si>
    <t>p10 2015</t>
  </si>
  <si>
    <t>OUTLETS</t>
  </si>
  <si>
    <t>All other outlets</t>
  </si>
  <si>
    <t>CATERING ADMIN</t>
  </si>
  <si>
    <t>Catering Admin</t>
  </si>
  <si>
    <t>Total</t>
  </si>
  <si>
    <t>Catering (consolidated)</t>
  </si>
  <si>
    <t>Loc no Dep</t>
  </si>
  <si>
    <t>NO DEPT</t>
  </si>
  <si>
    <t>Total Operating Income</t>
  </si>
  <si>
    <t>tav</t>
  </si>
  <si>
    <t>NO LOC</t>
  </si>
  <si>
    <t>PRESIDENTIAL</t>
  </si>
  <si>
    <t>cat admin</t>
  </si>
  <si>
    <t>Cat Adm</t>
  </si>
  <si>
    <t>PRESIDENTIAL OFFICE</t>
  </si>
  <si>
    <t>President</t>
  </si>
  <si>
    <t>grant income - Lion Nthan</t>
  </si>
  <si>
    <t>DENT</t>
  </si>
  <si>
    <t>GUILD COUNCIL</t>
  </si>
  <si>
    <t>Guild Council: Excl. Elections</t>
  </si>
  <si>
    <t xml:space="preserve"> </t>
  </si>
  <si>
    <t>affiliation exp</t>
  </si>
  <si>
    <t>FN</t>
  </si>
  <si>
    <t>305129 - Election &amp; Referenda Expenses</t>
  </si>
  <si>
    <t>Elections and Referanda</t>
  </si>
  <si>
    <t>PELICAN</t>
  </si>
  <si>
    <t>Pelican</t>
  </si>
  <si>
    <t>GUILD DEPARTMENTS</t>
  </si>
  <si>
    <t>KIT</t>
  </si>
  <si>
    <t>ENVIRONMENT</t>
  </si>
  <si>
    <t>Access</t>
  </si>
  <si>
    <t>ned</t>
  </si>
  <si>
    <t>International Student Services</t>
  </si>
  <si>
    <t>Albany</t>
  </si>
  <si>
    <t>REFECT</t>
  </si>
  <si>
    <t>POST-GRADUATE STUDENTS ASSOC</t>
  </si>
  <si>
    <t>Education Council</t>
  </si>
  <si>
    <t>awards &amp; prizes</t>
  </si>
  <si>
    <t>REFRES</t>
  </si>
  <si>
    <t>Pride</t>
  </si>
  <si>
    <t>Environment</t>
  </si>
  <si>
    <t>P12 15</t>
  </si>
  <si>
    <t>REID</t>
  </si>
  <si>
    <t>Ethnocultural</t>
  </si>
  <si>
    <t>SLC</t>
  </si>
  <si>
    <t>MATURE AGE STUDENTS ASSOCIATION</t>
  </si>
  <si>
    <t>International Students' Department</t>
  </si>
  <si>
    <t>SOM</t>
  </si>
  <si>
    <t>WASAC</t>
  </si>
  <si>
    <t>MASA</t>
  </si>
  <si>
    <t>ALBANY STUDENTS</t>
  </si>
  <si>
    <t>Postgraduates Student Association</t>
  </si>
  <si>
    <t>TAV</t>
  </si>
  <si>
    <t>WELFARE</t>
  </si>
  <si>
    <t>CO NO LOC</t>
  </si>
  <si>
    <t>RESIDENTIAL COLLEGE DEPARTMENT</t>
  </si>
  <si>
    <t>Public Affairs Council</t>
  </si>
  <si>
    <t>Income from ball came in May, budgetted in April</t>
  </si>
  <si>
    <t>ACCESS DEPARTMENT</t>
  </si>
  <si>
    <t>Residential Students' Department</t>
  </si>
  <si>
    <t>PUBLIC AFFAIRS</t>
  </si>
  <si>
    <t>Societies Council</t>
  </si>
  <si>
    <t>305049 - SOC Grants</t>
  </si>
  <si>
    <t>Club Grants</t>
  </si>
  <si>
    <t>SOCIETIES COUNCIL</t>
  </si>
  <si>
    <t xml:space="preserve">Sports Department </t>
  </si>
  <si>
    <t>EDUCATION COUNCIL</t>
  </si>
  <si>
    <t>Wellbeing</t>
  </si>
  <si>
    <t>SPORTS COUNCIL</t>
  </si>
  <si>
    <t>Women's</t>
  </si>
  <si>
    <t>SERVICES AND ACTIVITIES</t>
  </si>
  <si>
    <t>STUDENT ASSIST</t>
  </si>
  <si>
    <t>Student Assist</t>
  </si>
  <si>
    <t>EVENTS</t>
  </si>
  <si>
    <t>Events</t>
  </si>
  <si>
    <t>GSC</t>
  </si>
  <si>
    <t>MARKETING &amp; MEMBERSHIP</t>
  </si>
  <si>
    <t>Marketing &amp; Membership</t>
  </si>
  <si>
    <t>CREATIVE &amp; DESIGNS</t>
  </si>
  <si>
    <t>Design</t>
  </si>
  <si>
    <t>VOLUNTEERING</t>
  </si>
  <si>
    <t>Volunteer Centre</t>
  </si>
  <si>
    <t>Student Innovation Centre</t>
  </si>
  <si>
    <t>CORPORATE SERVICES</t>
  </si>
  <si>
    <t>ADMINISTRATION</t>
  </si>
  <si>
    <t>Administration</t>
  </si>
  <si>
    <t>FINANCE</t>
  </si>
  <si>
    <t>Finance</t>
  </si>
  <si>
    <t>INFORMATION TECHNOLOGY</t>
  </si>
  <si>
    <t>Information Technology</t>
  </si>
  <si>
    <t>Total Expenditure</t>
  </si>
  <si>
    <t xml:space="preserve">  </t>
  </si>
  <si>
    <t>SURPLUS (DEFICIT) FROM OPERATING ITEMS</t>
  </si>
  <si>
    <t>NON-OPERATING INCOME</t>
  </si>
  <si>
    <t>103046 - Interest Income from UWA Pools</t>
  </si>
  <si>
    <t>Interest Income - UWA Investment Pools</t>
  </si>
  <si>
    <t>103049 - Interest Income Other</t>
  </si>
  <si>
    <t>Interest Income - Other</t>
  </si>
  <si>
    <t>Sundry Income</t>
  </si>
  <si>
    <t>105153 - Interest Expense</t>
  </si>
  <si>
    <t>Interest Expense - Other</t>
  </si>
  <si>
    <t>Total Non-Operating Income</t>
  </si>
  <si>
    <t>ACCOUNTING PROFIT (LOSS)</t>
  </si>
  <si>
    <t>CASHFLOW SUMMARY</t>
  </si>
  <si>
    <t>Accounting Surplus (Deficit)</t>
  </si>
  <si>
    <t>Add Depreciation</t>
  </si>
  <si>
    <t>Deduct Non-Operating Income</t>
  </si>
  <si>
    <t>Cash Surplus (Deficit from Operations)</t>
  </si>
  <si>
    <t>Add back Non-Operating Income</t>
  </si>
  <si>
    <t>Net Cash available before CAPEEX</t>
  </si>
  <si>
    <t>191TDEP</t>
  </si>
  <si>
    <t>Deduct Capital Expenditure</t>
  </si>
  <si>
    <t>NET CASH SURPLUS (DEFICIT)</t>
  </si>
  <si>
    <t>Check</t>
  </si>
  <si>
    <t xml:space="preserve">CASHFLOW SUMMARY </t>
  </si>
  <si>
    <t>DEP</t>
  </si>
  <si>
    <t>Accounting Profit / (Loss)</t>
  </si>
  <si>
    <t>P5 2019</t>
  </si>
  <si>
    <t>CASHFLOW FROM OPERATIONAL ACTIVITIES</t>
  </si>
  <si>
    <t>P5 2018</t>
  </si>
  <si>
    <t xml:space="preserve">Add Back Depreciation </t>
  </si>
  <si>
    <t>Dec / (Inc) in Assets</t>
  </si>
  <si>
    <t>YTD 2019</t>
  </si>
  <si>
    <t>(Dec) / Inc in Liabilities</t>
  </si>
  <si>
    <t>YTD 2018</t>
  </si>
  <si>
    <t>Depreciation</t>
  </si>
  <si>
    <t>CASHFLOW FROM INVESTING ACTIVITIES</t>
  </si>
  <si>
    <t>P10</t>
  </si>
  <si>
    <t>Capital Expenditure</t>
  </si>
  <si>
    <t>P1-10</t>
  </si>
  <si>
    <t>Investment Pool Withdrawals / (Deposits)</t>
  </si>
  <si>
    <t>NET CHANGE IN CASH FOR PERIOD</t>
  </si>
  <si>
    <t>Cash @ Beginning of Period</t>
  </si>
  <si>
    <t>Cash @ End of Period</t>
  </si>
  <si>
    <t xml:space="preserve">Balance Sheet Check </t>
  </si>
  <si>
    <t>Total Depreciation Expense</t>
  </si>
  <si>
    <t>Total Cash Provided for the Year</t>
  </si>
  <si>
    <t>Guild of Undergraduates</t>
  </si>
  <si>
    <t>Budget Profit and Loss</t>
  </si>
  <si>
    <t>FY 2025</t>
  </si>
  <si>
    <t>CORPORATE SERVICES: INVESTMENTS</t>
  </si>
  <si>
    <t/>
  </si>
  <si>
    <t>Financial Row</t>
  </si>
  <si>
    <t>FY</t>
  </si>
  <si>
    <t>Mid Year</t>
  </si>
  <si>
    <t> </t>
  </si>
  <si>
    <t>Amount</t>
  </si>
  <si>
    <t>Jan - May</t>
  </si>
  <si>
    <t>Gross Profit</t>
  </si>
  <si>
    <t>Expenses</t>
  </si>
  <si>
    <t>ADMINISTRATIVE EXPENSES - ADMINISTRATIVE EXPENSES</t>
  </si>
  <si>
    <t>Total - ADMINISTRATIVE EXPENSES - ADMINISTRATIVE EXPENSES</t>
  </si>
  <si>
    <t>Total - Expenses</t>
  </si>
  <si>
    <t>Operating Profit</t>
  </si>
  <si>
    <t>Other Income</t>
  </si>
  <si>
    <t>FINANCE INCOME - FINANCE INCOME</t>
  </si>
  <si>
    <t>Total - FINANCE INCOME - FINANCE INCOME</t>
  </si>
  <si>
    <t>OTHER INCOME - OTHER INCOME</t>
  </si>
  <si>
    <t>Total - OTHER INCOME - OTHER INCOME</t>
  </si>
  <si>
    <t>STUDENT SERVICES AND AMENITIES FEE FROM UWA - STUDENT SERVICES AND AMENITIES FEE FROM UWA</t>
  </si>
  <si>
    <t>Total - STUDENT SERVICES AND AMENITIES FEE FROM UWA - STUDENT SERVICES AND AMENITIES FEE FROM UWA</t>
  </si>
  <si>
    <t>Total - Other Income</t>
  </si>
  <si>
    <t>Other Expenses</t>
  </si>
  <si>
    <t>FINANCE COSTS - FINANCE COSTS</t>
  </si>
  <si>
    <t>Total - FINANCE COSTS - FINANCE COSTS</t>
  </si>
  <si>
    <t>Total - Other Expenses</t>
  </si>
  <si>
    <t>CS: PROPERTY SERVICES</t>
  </si>
  <si>
    <t>305108 - Cleaning Contract</t>
  </si>
  <si>
    <t>305111 - Communication Expenses</t>
  </si>
  <si>
    <t>305132 - Utilities</t>
  </si>
  <si>
    <t>305159 - Legal Fees &amp; Charges</t>
  </si>
  <si>
    <t xml:space="preserve">305162 - Licence &amp; Permits </t>
  </si>
  <si>
    <t>305195 - Repairs to Commercial Property</t>
  </si>
  <si>
    <t>305228 - Waste Control</t>
  </si>
  <si>
    <t>306001 - Depreciation - Plant &amp; Equipment</t>
  </si>
  <si>
    <t>306003 - Depreciation - Furniture &amp; Fittings</t>
  </si>
  <si>
    <t>306005 - Depreciation - Property</t>
  </si>
  <si>
    <t>EMPLOYEE BENEFITS EXPENSE - EMPLOYEE BENEFITS EXPENSE</t>
  </si>
  <si>
    <t>304001 - Salaries &amp; Wages - Permanent Staff</t>
  </si>
  <si>
    <t>304010 - Superannuation</t>
  </si>
  <si>
    <t>304013 - Workers Compensation Insurance</t>
  </si>
  <si>
    <t>304016 - Annual Leave Provision</t>
  </si>
  <si>
    <t>304019 - Long Service Leave Provision</t>
  </si>
  <si>
    <t>Total - EMPLOYEE BENEFITS EXPENSE - EMPLOYEE BENEFITS EXPENSE</t>
  </si>
  <si>
    <t>103053 - Tenant Utility Income</t>
  </si>
  <si>
    <t>103069 - Sundry Income</t>
  </si>
  <si>
    <t>RENTAL - PROPERTY &amp; EQUIPMENT INCOME - RENTAL - PROPERTY &amp; EQUIPMENT INCOME</t>
  </si>
  <si>
    <t>103052 - Lease/Rental Income</t>
  </si>
  <si>
    <t>Total - RENTAL - PROPERTY &amp; EQUIPMENT INCOME - RENTAL - PROPERTY &amp; EQUIPMENT INCOME</t>
  </si>
  <si>
    <t>CATERING PROPERTY</t>
  </si>
  <si>
    <t>305109 - Cleaning Consumables</t>
  </si>
  <si>
    <t>305156 - Laundry</t>
  </si>
  <si>
    <t>305162 - Licence &amp; Permits</t>
  </si>
  <si>
    <t>305189 - Repairs &amp; Maintenance</t>
  </si>
  <si>
    <t>304023 - Supplementary Payment Provision</t>
  </si>
  <si>
    <t>COMMISSION INCOME - COMMISSION INCOME</t>
  </si>
  <si>
    <t>103041 - Vending Commission</t>
  </si>
  <si>
    <t>Total - COMMISSION INCOME - COMMISSION INCOME</t>
  </si>
  <si>
    <t>103054 - Tenant Outgoings</t>
  </si>
  <si>
    <t>103056 - Rent Income - External &amp; Mobile Vendors</t>
  </si>
  <si>
    <t>TAVERN</t>
  </si>
  <si>
    <t>Income</t>
  </si>
  <si>
    <t>SALES CATERING DISCOUNT - SALES CATERING DISCOUNT</t>
  </si>
  <si>
    <t>102000 - Guild Member Discount</t>
  </si>
  <si>
    <t>102003 - Other Promotional Discounts</t>
  </si>
  <si>
    <t>Total - SALES CATERING DISCOUNT - SALES CATERING DISCOUNT</t>
  </si>
  <si>
    <t>SALES OF GOODS - SALES OF GOODS</t>
  </si>
  <si>
    <t>101001 - Sales - Catering</t>
  </si>
  <si>
    <t>Total - SALES OF GOODS - SALES OF GOODS</t>
  </si>
  <si>
    <t>Total - Income</t>
  </si>
  <si>
    <t>Cost Of Sales</t>
  </si>
  <si>
    <t>201070 - Cost of Goods Sold</t>
  </si>
  <si>
    <t>Total - Cost Of Sales</t>
  </si>
  <si>
    <t>305057 - Website</t>
  </si>
  <si>
    <t>305039 - Hire of Bands &amp; DJs</t>
  </si>
  <si>
    <t>305055 - Tavern Entertainment</t>
  </si>
  <si>
    <t>305082 - Pool Table Expenses</t>
  </si>
  <si>
    <t>305112 - Paper Products &amp; Packaging</t>
  </si>
  <si>
    <t>305141 - Equipment Rental</t>
  </si>
  <si>
    <t>305147 - General Expenses</t>
  </si>
  <si>
    <t>305155 - Interior decoration</t>
  </si>
  <si>
    <t>305168 - Occupational  Health &amp; Safety</t>
  </si>
  <si>
    <t>305180 - Printing &amp; Stationery</t>
  </si>
  <si>
    <t>305183 - Rates and Taxes</t>
  </si>
  <si>
    <t>305185 - Minor Assets</t>
  </si>
  <si>
    <t>305187 - Software Digital</t>
  </si>
  <si>
    <t>305197 - Replacement of Glass/Cutlery</t>
  </si>
  <si>
    <t>305201 - Security Expenses</t>
  </si>
  <si>
    <t>305204 - Security Monitoring</t>
  </si>
  <si>
    <t>305219 - Subscriptions</t>
  </si>
  <si>
    <t>306004 - Depreciation - Computer Equipment</t>
  </si>
  <si>
    <t>304004 - Salaries &amp; Wages - Other</t>
  </si>
  <si>
    <t>103001 - Advertising Income</t>
  </si>
  <si>
    <t>103075 - Sponsorship</t>
  </si>
  <si>
    <t>103085 - Bank Charges Income</t>
  </si>
  <si>
    <t>REBATE INCOME - REBATE INCOME</t>
  </si>
  <si>
    <t>103064 - Rebates - Catering</t>
  </si>
  <si>
    <t>Total - REBATE INCOME - REBATE INCOME</t>
  </si>
  <si>
    <t>103070 - Venue Hire</t>
  </si>
  <si>
    <t>103082 - Pool Table Income</t>
  </si>
  <si>
    <t>Consolidated CATERING OUTLET SUMMARY</t>
  </si>
  <si>
    <t>%</t>
  </si>
  <si>
    <t>2023 Budget Revenue</t>
  </si>
  <si>
    <t>2024 Budget W/ Cost Allocation</t>
  </si>
  <si>
    <t xml:space="preserve">2025 Budget </t>
  </si>
  <si>
    <t>2024 Actual (Fcst)</t>
  </si>
  <si>
    <t xml:space="preserve">2024 Budget </t>
  </si>
  <si>
    <t>2023 Actual</t>
  </si>
  <si>
    <t>2023 Budget</t>
  </si>
  <si>
    <t>2022 Actual</t>
  </si>
  <si>
    <t>2022 Budget</t>
  </si>
  <si>
    <t>2021 Actual</t>
  </si>
  <si>
    <t>2021 Budget</t>
  </si>
  <si>
    <t>2020 Actual</t>
  </si>
  <si>
    <t>2020 Budget</t>
  </si>
  <si>
    <t>2019 Actual</t>
  </si>
  <si>
    <t>2019 Budget</t>
  </si>
  <si>
    <t>Comments</t>
  </si>
  <si>
    <t>BUSINESS SCHOOL</t>
  </si>
  <si>
    <t>CATALYST</t>
  </si>
  <si>
    <t>DENTISTRY</t>
  </si>
  <si>
    <t>NEDLANDS</t>
  </si>
  <si>
    <t>HACKETT</t>
  </si>
  <si>
    <t>QUOBBA</t>
  </si>
  <si>
    <t>FUNCTIONS</t>
  </si>
  <si>
    <t>KITCHEN</t>
  </si>
  <si>
    <t>Total (ex Tavern)</t>
  </si>
  <si>
    <t>Total Tavern, Kitchen and Functions</t>
  </si>
  <si>
    <t>Total Catering</t>
  </si>
  <si>
    <t>Jobkeeper</t>
  </si>
  <si>
    <t>Catering Snapshot</t>
  </si>
  <si>
    <t>2024 Budget</t>
  </si>
  <si>
    <t>2023 Actual (Jan-Oct)</t>
  </si>
  <si>
    <t>Revenue</t>
  </si>
  <si>
    <t>Discount</t>
  </si>
  <si>
    <t>COGS</t>
  </si>
  <si>
    <t>Employee Expenditure</t>
  </si>
  <si>
    <t>Selling and Other Expenses</t>
  </si>
  <si>
    <t>Other Income and expenses</t>
  </si>
  <si>
    <t>Net Profit</t>
  </si>
  <si>
    <t>GP%</t>
  </si>
  <si>
    <t>Employee expenditure %</t>
  </si>
  <si>
    <t>Net Profit %</t>
  </si>
  <si>
    <t>305114 - Computer Expenses</t>
  </si>
  <si>
    <t>305117 - Conferences</t>
  </si>
  <si>
    <t>305165 - Motor Vehicle Expenses</t>
  </si>
  <si>
    <t>305207 - Special Projects</t>
  </si>
  <si>
    <t>103028 - Grant Income Received</t>
  </si>
  <si>
    <t>305023 - Student Rep Induction conference</t>
  </si>
  <si>
    <t>305044 - Special Projects-MCW</t>
  </si>
  <si>
    <t>305063 - Handbooks</t>
  </si>
  <si>
    <t>305080 - Activities and Functions</t>
  </si>
  <si>
    <t>305096 - Bad Debt Provision</t>
  </si>
  <si>
    <t>305150 - Insurance General</t>
  </si>
  <si>
    <t>305166 - Meeting Expenses</t>
  </si>
  <si>
    <t>305208 - Affiliation Expenses</t>
  </si>
  <si>
    <t>305209 - Senate Dinner</t>
  </si>
  <si>
    <t>305210 - Staff Amenities</t>
  </si>
  <si>
    <t>103030 - Service Fees</t>
  </si>
  <si>
    <t>305068 - Orientation Day Expenses</t>
  </si>
  <si>
    <t>305079 - Theme Week</t>
  </si>
  <si>
    <t>ISS</t>
  </si>
  <si>
    <t>305181 - Publications</t>
  </si>
  <si>
    <t>305190 - Equity Initiatives</t>
  </si>
  <si>
    <t>ETHNOCULTURAL</t>
  </si>
  <si>
    <t>PSA</t>
  </si>
  <si>
    <t>305052 - Awards &amp; Prizes</t>
  </si>
  <si>
    <t>305056 - Grants</t>
  </si>
  <si>
    <t>305076 - Sundry Activities</t>
  </si>
  <si>
    <t>PRIDE</t>
  </si>
  <si>
    <t>305225 - Uniforms</t>
  </si>
  <si>
    <t>WOMENS</t>
  </si>
  <si>
    <t>305024 - Campaigns</t>
  </si>
  <si>
    <t>305333 - Workshops and seminars</t>
  </si>
  <si>
    <t>305177 - Postage</t>
  </si>
  <si>
    <t>ALBANY</t>
  </si>
  <si>
    <t>305155 - Interior Decoration</t>
  </si>
  <si>
    <t>WELLBEING</t>
  </si>
  <si>
    <t>RSD</t>
  </si>
  <si>
    <t>ACCESS</t>
  </si>
  <si>
    <t>305016 - Orientation Week</t>
  </si>
  <si>
    <t>PAC</t>
  </si>
  <si>
    <t>SOC</t>
  </si>
  <si>
    <t>STUDENT INNOVATION CENTRE</t>
  </si>
  <si>
    <t>305120 - Consultants</t>
  </si>
  <si>
    <t>Grant Income:</t>
  </si>
  <si>
    <t>UWA Grant</t>
  </si>
  <si>
    <t>Malka</t>
  </si>
  <si>
    <t>305020 - Guild Meal Vouchers distributed</t>
  </si>
  <si>
    <t>305029 - Grant Distributed</t>
  </si>
  <si>
    <t>306006 - Depreciation - Intangible Assets</t>
  </si>
  <si>
    <t>Under/over</t>
  </si>
  <si>
    <t>Events 2020 Budget</t>
  </si>
  <si>
    <t>305017 - Returners Festival</t>
  </si>
  <si>
    <t>305053 - Guild Ball</t>
  </si>
  <si>
    <t>305085 - End of Semester Show</t>
  </si>
  <si>
    <t>305086 - Wellness Initiatives</t>
  </si>
  <si>
    <t xml:space="preserve"> -   </t>
  </si>
  <si>
    <t>103055 - Market Day Income</t>
  </si>
  <si>
    <t>103068 - Orientation Day Income</t>
  </si>
  <si>
    <t>101009 - Freight Income</t>
  </si>
  <si>
    <t>101011 - Sundry Sales</t>
  </si>
  <si>
    <t>101012 - Sales Shopify</t>
  </si>
  <si>
    <t>101900 - Sales - Internal</t>
  </si>
  <si>
    <t>305050 - Research &amp; Survey</t>
  </si>
  <si>
    <t>304004 -  Salaries &amp; Wages - Others</t>
  </si>
  <si>
    <t>103061 - Commission Income</t>
  </si>
  <si>
    <t>Smart rider</t>
  </si>
  <si>
    <t>103014 - Diary Advertising Income</t>
  </si>
  <si>
    <t>Marketing</t>
  </si>
  <si>
    <t>305014 - Diary Production</t>
  </si>
  <si>
    <t>Creative and Design</t>
  </si>
  <si>
    <t>201200 - Purchases - Printing</t>
  </si>
  <si>
    <t>Please provide timing (month) and hours for casual.</t>
  </si>
  <si>
    <t>305022 - Relay for life</t>
  </si>
  <si>
    <t>CORPORATE SERVICES:ADMIN</t>
  </si>
  <si>
    <t>305213 - Staff Recruitment Expenses</t>
  </si>
  <si>
    <t>305216 - Training, Development &amp; Incentives</t>
  </si>
  <si>
    <t>304025 - Special Leave</t>
  </si>
  <si>
    <t>CORPORATE SERVICES: FINANCE</t>
  </si>
  <si>
    <t>305093 - Audit &amp; Tax Services</t>
  </si>
  <si>
    <t>CORPORATE SERVICES: 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</si>
</sst>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&quot;$&quot;#,##0.00"/>
    <numFmt numFmtId="166" formatCode="&quot;$&quot;#,##0"/>
    <numFmt numFmtId="167" formatCode="_-&quot;$&quot;* #,##0_-;\-&quot;$&quot;* #,##0_-;_-&quot;$&quot;* &quot;-&quot;??_-;_-@_-"/>
    <numFmt numFmtId="168" formatCode="_-* #,##0_-;\-* #,##0_-;_-* &quot;-&quot;??_-;_-@_-"/>
    <numFmt numFmtId="169" formatCode="#,##0.00_ ;[Red]\-#,##0.00\ 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Tahoma"/>
      <family val="2"/>
    </font>
    <font>
      <b/>
      <sz val="10"/>
      <name val="Tahoma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1"/>
      <name val="Calibri"/>
      <family val="2"/>
      <scheme val="minor"/>
    </font>
    <font>
      <b/>
      <sz val="10"/>
      <color theme="1"/>
      <name val="Tahoma"/>
      <family val="2"/>
    </font>
    <font>
      <sz val="8"/>
      <name val="Arial"/>
      <family val="2"/>
    </font>
    <font>
      <sz val="10"/>
      <color rgb="FF000000"/>
      <name val="Tahoma"/>
      <family val="2"/>
    </font>
    <font>
      <sz val="11"/>
      <color theme="1"/>
      <name val="Calibri"/>
      <family val="2"/>
      <scheme val="minor"/>
    </font>
    <font>
      <sz val="10"/>
      <color indexed="8"/>
      <name val="Tahom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Arial"/>
      <family val="2"/>
    </font>
    <font>
      <b/>
      <sz val="7"/>
      <name val="Arial"/>
      <family val="2"/>
    </font>
    <font>
      <sz val="11"/>
      <color theme="3" tint="-0.249977111117893"/>
      <name val="Calibri"/>
      <family val="2"/>
      <scheme val="minor"/>
    </font>
    <font>
      <b/>
      <sz val="10"/>
      <color rgb="FFFF0000"/>
      <name val="Tahoma"/>
      <family val="2"/>
    </font>
    <font>
      <sz val="11"/>
      <color rgb="FFFF0000"/>
      <name val="Calibri"/>
      <family val="2"/>
      <scheme val="minor"/>
    </font>
    <font>
      <b/>
      <sz val="10"/>
      <color theme="0"/>
      <name val="Tahoma"/>
      <family val="2"/>
    </font>
    <font>
      <b/>
      <sz val="11"/>
      <color rgb="FFFF0000"/>
      <name val="Calibri"/>
      <family val="2"/>
      <scheme val="minor"/>
    </font>
    <font>
      <b/>
      <sz val="14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"/>
      <family val="2"/>
    </font>
    <font>
      <u/>
      <sz val="8"/>
      <color theme="10"/>
      <name val="Arial"/>
      <family val="2"/>
    </font>
    <font>
      <sz val="8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E8A"/>
        <bgColor indexed="64"/>
      </patternFill>
    </fill>
    <fill>
      <patternFill patternType="solid">
        <fgColor rgb="FF0033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0D0D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tted">
        <color rgb="FF969696"/>
      </top>
      <bottom/>
      <diagonal/>
    </border>
    <border>
      <left/>
      <right/>
      <top style="dotted">
        <color rgb="FFC0C0C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2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9" fillId="0" borderId="0"/>
    <xf numFmtId="43" fontId="11" fillId="0" borderId="0" applyFont="0" applyFill="0" applyBorder="0" applyAlignment="0" applyProtection="0"/>
    <xf numFmtId="0" fontId="15" fillId="0" borderId="0"/>
    <xf numFmtId="0" fontId="9" fillId="0" borderId="0"/>
    <xf numFmtId="0" fontId="27" fillId="0" borderId="0"/>
    <xf numFmtId="0" fontId="28" fillId="0" borderId="0" applyNumberFormat="0" applyFill="0" applyBorder="0" applyAlignment="0" applyProtection="0"/>
    <xf numFmtId="0" fontId="29" fillId="0" borderId="29" applyNumberFormat="0" applyFill="0" applyAlignment="0" applyProtection="0"/>
    <xf numFmtId="0" fontId="30" fillId="0" borderId="30" applyNumberFormat="0" applyFill="0" applyAlignment="0" applyProtection="0"/>
    <xf numFmtId="0" fontId="31" fillId="0" borderId="31" applyNumberFormat="0" applyFill="0" applyAlignment="0" applyProtection="0"/>
    <xf numFmtId="0" fontId="31" fillId="0" borderId="0" applyNumberFormat="0" applyFill="0" applyBorder="0" applyAlignment="0" applyProtection="0"/>
    <xf numFmtId="0" fontId="32" fillId="7" borderId="0" applyNumberFormat="0" applyBorder="0" applyAlignment="0" applyProtection="0"/>
    <xf numFmtId="0" fontId="33" fillId="8" borderId="0" applyNumberFormat="0" applyBorder="0" applyAlignment="0" applyProtection="0"/>
    <xf numFmtId="0" fontId="34" fillId="9" borderId="0" applyNumberFormat="0" applyBorder="0" applyAlignment="0" applyProtection="0"/>
    <xf numFmtId="0" fontId="35" fillId="10" borderId="32" applyNumberFormat="0" applyAlignment="0" applyProtection="0"/>
    <xf numFmtId="0" fontId="36" fillId="11" borderId="33" applyNumberFormat="0" applyAlignment="0" applyProtection="0"/>
    <xf numFmtId="0" fontId="37" fillId="11" borderId="32" applyNumberFormat="0" applyAlignment="0" applyProtection="0"/>
    <xf numFmtId="0" fontId="38" fillId="0" borderId="34" applyNumberFormat="0" applyFill="0" applyAlignment="0" applyProtection="0"/>
    <xf numFmtId="0" fontId="39" fillId="12" borderId="35" applyNumberFormat="0" applyAlignment="0" applyProtection="0"/>
    <xf numFmtId="0" fontId="1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3" fillId="0" borderId="37" applyNumberFormat="0" applyFill="0" applyAlignment="0" applyProtection="0"/>
    <xf numFmtId="0" fontId="4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4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4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4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2" fillId="0" borderId="0"/>
    <xf numFmtId="0" fontId="1" fillId="13" borderId="36" applyNumberFormat="0" applyFont="0" applyAlignment="0" applyProtection="0"/>
    <xf numFmtId="0" fontId="1" fillId="13" borderId="36" applyNumberFormat="0" applyFont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3" fillId="0" borderId="0" applyNumberFormat="0" applyFill="0" applyBorder="0" applyAlignment="0" applyProtection="0"/>
    <xf numFmtId="44" fontId="2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406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165" fontId="3" fillId="0" borderId="2" xfId="0" applyNumberFormat="1" applyFont="1" applyBorder="1"/>
    <xf numFmtId="165" fontId="4" fillId="0" borderId="2" xfId="0" applyNumberFormat="1" applyFont="1" applyBorder="1"/>
    <xf numFmtId="165" fontId="6" fillId="0" borderId="2" xfId="0" applyNumberFormat="1" applyFont="1" applyBorder="1"/>
    <xf numFmtId="165" fontId="5" fillId="2" borderId="2" xfId="0" applyNumberFormat="1" applyFont="1" applyFill="1" applyBorder="1"/>
    <xf numFmtId="0" fontId="3" fillId="2" borderId="0" xfId="0" applyFont="1" applyFill="1"/>
    <xf numFmtId="0" fontId="7" fillId="2" borderId="0" xfId="0" applyFont="1" applyFill="1"/>
    <xf numFmtId="0" fontId="3" fillId="2" borderId="4" xfId="0" applyFont="1" applyFill="1" applyBorder="1"/>
    <xf numFmtId="165" fontId="3" fillId="0" borderId="0" xfId="0" applyNumberFormat="1" applyFont="1"/>
    <xf numFmtId="165" fontId="4" fillId="0" borderId="0" xfId="0" applyNumberFormat="1" applyFont="1"/>
    <xf numFmtId="165" fontId="3" fillId="2" borderId="0" xfId="0" applyNumberFormat="1" applyFont="1" applyFill="1"/>
    <xf numFmtId="165" fontId="5" fillId="2" borderId="0" xfId="0" applyNumberFormat="1" applyFont="1" applyFill="1"/>
    <xf numFmtId="165" fontId="4" fillId="0" borderId="6" xfId="0" applyNumberFormat="1" applyFont="1" applyBorder="1" applyAlignment="1">
      <alignment horizontal="center"/>
    </xf>
    <xf numFmtId="165" fontId="4" fillId="2" borderId="6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4" xfId="0" applyFont="1" applyBorder="1"/>
    <xf numFmtId="0" fontId="3" fillId="0" borderId="0" xfId="0" applyFont="1"/>
    <xf numFmtId="166" fontId="3" fillId="0" borderId="0" xfId="0" applyNumberFormat="1" applyFont="1"/>
    <xf numFmtId="165" fontId="4" fillId="0" borderId="0" xfId="0" applyNumberFormat="1" applyFont="1" applyAlignment="1">
      <alignment horizontal="center"/>
    </xf>
    <xf numFmtId="165" fontId="6" fillId="0" borderId="0" xfId="0" applyNumberFormat="1" applyFont="1"/>
    <xf numFmtId="165" fontId="5" fillId="0" borderId="0" xfId="0" applyNumberFormat="1" applyFont="1"/>
    <xf numFmtId="0" fontId="7" fillId="0" borderId="0" xfId="0" applyFont="1"/>
    <xf numFmtId="0" fontId="3" fillId="0" borderId="0" xfId="3" applyFont="1"/>
    <xf numFmtId="166" fontId="6" fillId="0" borderId="0" xfId="0" applyNumberFormat="1" applyFont="1"/>
    <xf numFmtId="166" fontId="6" fillId="2" borderId="0" xfId="0" applyNumberFormat="1" applyFont="1" applyFill="1"/>
    <xf numFmtId="166" fontId="3" fillId="2" borderId="0" xfId="0" applyNumberFormat="1" applyFont="1" applyFill="1"/>
    <xf numFmtId="166" fontId="10" fillId="0" borderId="0" xfId="0" applyNumberFormat="1" applyFont="1"/>
    <xf numFmtId="167" fontId="3" fillId="0" borderId="0" xfId="0" applyNumberFormat="1" applyFont="1"/>
    <xf numFmtId="167" fontId="7" fillId="0" borderId="0" xfId="0" applyNumberFormat="1" applyFont="1"/>
    <xf numFmtId="0" fontId="3" fillId="0" borderId="8" xfId="0" applyFont="1" applyBorder="1"/>
    <xf numFmtId="0" fontId="3" fillId="0" borderId="9" xfId="3" applyFont="1" applyBorder="1"/>
    <xf numFmtId="0" fontId="3" fillId="0" borderId="10" xfId="0" applyFont="1" applyBorder="1"/>
    <xf numFmtId="0" fontId="3" fillId="0" borderId="11" xfId="3" applyFont="1" applyBorder="1"/>
    <xf numFmtId="165" fontId="3" fillId="0" borderId="12" xfId="0" applyNumberFormat="1" applyFont="1" applyBorder="1"/>
    <xf numFmtId="0" fontId="12" fillId="0" borderId="13" xfId="3" applyFont="1" applyBorder="1"/>
    <xf numFmtId="0" fontId="3" fillId="0" borderId="14" xfId="3" applyFont="1" applyBorder="1"/>
    <xf numFmtId="165" fontId="3" fillId="0" borderId="0" xfId="0" applyNumberFormat="1" applyFont="1" applyAlignment="1">
      <alignment horizontal="center"/>
    </xf>
    <xf numFmtId="166" fontId="5" fillId="0" borderId="0" xfId="0" applyNumberFormat="1" applyFont="1"/>
    <xf numFmtId="0" fontId="6" fillId="0" borderId="0" xfId="0" applyFont="1"/>
    <xf numFmtId="164" fontId="3" fillId="0" borderId="0" xfId="1" applyFont="1"/>
    <xf numFmtId="164" fontId="0" fillId="0" borderId="0" xfId="1" applyFont="1"/>
    <xf numFmtId="0" fontId="13" fillId="0" borderId="0" xfId="0" applyFont="1" applyAlignment="1">
      <alignment horizontal="center" vertical="center"/>
    </xf>
    <xf numFmtId="164" fontId="7" fillId="0" borderId="0" xfId="1" applyFont="1"/>
    <xf numFmtId="0" fontId="14" fillId="0" borderId="0" xfId="0" applyFont="1"/>
    <xf numFmtId="0" fontId="14" fillId="0" borderId="0" xfId="0" applyFont="1" applyAlignment="1">
      <alignment horizontal="center" vertical="center"/>
    </xf>
    <xf numFmtId="166" fontId="14" fillId="0" borderId="10" xfId="0" applyNumberFormat="1" applyFont="1" applyBorder="1"/>
    <xf numFmtId="164" fontId="14" fillId="0" borderId="0" xfId="1" applyFont="1"/>
    <xf numFmtId="164" fontId="14" fillId="0" borderId="11" xfId="1" applyFont="1" applyBorder="1"/>
    <xf numFmtId="43" fontId="0" fillId="0" borderId="0" xfId="0" applyNumberFormat="1"/>
    <xf numFmtId="164" fontId="13" fillId="0" borderId="0" xfId="1" applyFont="1"/>
    <xf numFmtId="0" fontId="7" fillId="0" borderId="10" xfId="0" applyFont="1" applyBorder="1"/>
    <xf numFmtId="43" fontId="7" fillId="0" borderId="11" xfId="0" applyNumberFormat="1" applyFont="1" applyBorder="1"/>
    <xf numFmtId="0" fontId="4" fillId="0" borderId="4" xfId="0" applyFont="1" applyBorder="1"/>
    <xf numFmtId="0" fontId="4" fillId="0" borderId="0" xfId="0" applyFont="1"/>
    <xf numFmtId="165" fontId="4" fillId="0" borderId="7" xfId="0" applyNumberFormat="1" applyFont="1" applyBorder="1" applyAlignment="1">
      <alignment horizontal="center"/>
    </xf>
    <xf numFmtId="166" fontId="4" fillId="0" borderId="7" xfId="0" applyNumberFormat="1" applyFont="1" applyBorder="1"/>
    <xf numFmtId="0" fontId="7" fillId="0" borderId="11" xfId="0" applyFont="1" applyBorder="1"/>
    <xf numFmtId="168" fontId="5" fillId="0" borderId="0" xfId="4" applyNumberFormat="1" applyFont="1"/>
    <xf numFmtId="167" fontId="3" fillId="2" borderId="0" xfId="0" applyNumberFormat="1" applyFont="1" applyFill="1"/>
    <xf numFmtId="167" fontId="7" fillId="2" borderId="0" xfId="0" applyNumberFormat="1" applyFont="1" applyFill="1"/>
    <xf numFmtId="164" fontId="7" fillId="2" borderId="0" xfId="1" applyFont="1" applyFill="1"/>
    <xf numFmtId="164" fontId="0" fillId="2" borderId="10" xfId="1" applyFont="1" applyFill="1" applyBorder="1"/>
    <xf numFmtId="164" fontId="14" fillId="2" borderId="0" xfId="1" applyFont="1" applyFill="1"/>
    <xf numFmtId="0" fontId="0" fillId="2" borderId="11" xfId="0" applyFill="1" applyBorder="1"/>
    <xf numFmtId="164" fontId="7" fillId="2" borderId="10" xfId="1" applyFont="1" applyFill="1" applyBorder="1"/>
    <xf numFmtId="0" fontId="7" fillId="2" borderId="11" xfId="0" applyFont="1" applyFill="1" applyBorder="1"/>
    <xf numFmtId="166" fontId="7" fillId="2" borderId="0" xfId="0" applyNumberFormat="1" applyFont="1" applyFill="1"/>
    <xf numFmtId="165" fontId="7" fillId="2" borderId="0" xfId="0" applyNumberFormat="1" applyFont="1" applyFill="1"/>
    <xf numFmtId="165" fontId="7" fillId="2" borderId="10" xfId="0" applyNumberFormat="1" applyFont="1" applyFill="1" applyBorder="1"/>
    <xf numFmtId="164" fontId="3" fillId="2" borderId="0" xfId="1" applyFont="1" applyFill="1"/>
    <xf numFmtId="0" fontId="9" fillId="0" borderId="0" xfId="3"/>
    <xf numFmtId="164" fontId="3" fillId="0" borderId="4" xfId="1" applyFont="1" applyBorder="1"/>
    <xf numFmtId="164" fontId="6" fillId="0" borderId="0" xfId="1" applyFont="1"/>
    <xf numFmtId="44" fontId="3" fillId="0" borderId="0" xfId="0" applyNumberFormat="1" applyFont="1"/>
    <xf numFmtId="0" fontId="6" fillId="0" borderId="4" xfId="0" applyFont="1" applyBorder="1"/>
    <xf numFmtId="9" fontId="0" fillId="0" borderId="0" xfId="2" applyFont="1"/>
    <xf numFmtId="165" fontId="7" fillId="0" borderId="0" xfId="0" applyNumberFormat="1" applyFont="1"/>
    <xf numFmtId="166" fontId="4" fillId="0" borderId="0" xfId="0" applyNumberFormat="1" applyFont="1"/>
    <xf numFmtId="166" fontId="8" fillId="0" borderId="0" xfId="0" applyNumberFormat="1" applyFont="1"/>
    <xf numFmtId="167" fontId="4" fillId="0" borderId="0" xfId="0" applyNumberFormat="1" applyFont="1"/>
    <xf numFmtId="167" fontId="14" fillId="0" borderId="0" xfId="0" applyNumberFormat="1" applyFont="1"/>
    <xf numFmtId="0" fontId="3" fillId="2" borderId="17" xfId="0" applyFont="1" applyFill="1" applyBorder="1"/>
    <xf numFmtId="0" fontId="3" fillId="2" borderId="18" xfId="0" applyFont="1" applyFill="1" applyBorder="1"/>
    <xf numFmtId="166" fontId="4" fillId="2" borderId="16" xfId="0" applyNumberFormat="1" applyFont="1" applyFill="1" applyBorder="1"/>
    <xf numFmtId="165" fontId="8" fillId="2" borderId="16" xfId="0" applyNumberFormat="1" applyFont="1" applyFill="1" applyBorder="1" applyAlignment="1">
      <alignment horizontal="center"/>
    </xf>
    <xf numFmtId="166" fontId="4" fillId="0" borderId="16" xfId="0" applyNumberFormat="1" applyFont="1" applyBorder="1"/>
    <xf numFmtId="165" fontId="4" fillId="2" borderId="2" xfId="0" applyNumberFormat="1" applyFont="1" applyFill="1" applyBorder="1" applyAlignment="1">
      <alignment horizontal="center"/>
    </xf>
    <xf numFmtId="166" fontId="6" fillId="2" borderId="2" xfId="0" applyNumberFormat="1" applyFont="1" applyFill="1" applyBorder="1"/>
    <xf numFmtId="166" fontId="3" fillId="0" borderId="2" xfId="0" applyNumberFormat="1" applyFont="1" applyBorder="1"/>
    <xf numFmtId="166" fontId="5" fillId="0" borderId="2" xfId="0" applyNumberFormat="1" applyFont="1" applyBorder="1"/>
    <xf numFmtId="0" fontId="17" fillId="0" borderId="0" xfId="0" applyFont="1"/>
    <xf numFmtId="165" fontId="4" fillId="2" borderId="7" xfId="0" applyNumberFormat="1" applyFont="1" applyFill="1" applyBorder="1" applyAlignment="1">
      <alignment horizontal="center"/>
    </xf>
    <xf numFmtId="166" fontId="6" fillId="2" borderId="7" xfId="0" applyNumberFormat="1" applyFont="1" applyFill="1" applyBorder="1"/>
    <xf numFmtId="166" fontId="3" fillId="0" borderId="7" xfId="0" applyNumberFormat="1" applyFont="1" applyBorder="1"/>
    <xf numFmtId="166" fontId="5" fillId="0" borderId="7" xfId="0" applyNumberFormat="1" applyFont="1" applyBorder="1"/>
    <xf numFmtId="165" fontId="4" fillId="2" borderId="19" xfId="0" applyNumberFormat="1" applyFont="1" applyFill="1" applyBorder="1" applyAlignment="1">
      <alignment horizontal="center"/>
    </xf>
    <xf numFmtId="166" fontId="8" fillId="2" borderId="19" xfId="0" applyNumberFormat="1" applyFont="1" applyFill="1" applyBorder="1"/>
    <xf numFmtId="166" fontId="4" fillId="0" borderId="19" xfId="0" applyNumberFormat="1" applyFont="1" applyBorder="1"/>
    <xf numFmtId="166" fontId="18" fillId="0" borderId="19" xfId="0" applyNumberFormat="1" applyFont="1" applyBorder="1"/>
    <xf numFmtId="165" fontId="4" fillId="2" borderId="0" xfId="0" applyNumberFormat="1" applyFont="1" applyFill="1" applyAlignment="1">
      <alignment horizontal="center"/>
    </xf>
    <xf numFmtId="166" fontId="18" fillId="0" borderId="0" xfId="0" applyNumberFormat="1" applyFont="1"/>
    <xf numFmtId="165" fontId="3" fillId="2" borderId="18" xfId="0" applyNumberFormat="1" applyFont="1" applyFill="1" applyBorder="1" applyAlignment="1">
      <alignment horizontal="center"/>
    </xf>
    <xf numFmtId="166" fontId="6" fillId="2" borderId="18" xfId="0" applyNumberFormat="1" applyFont="1" applyFill="1" applyBorder="1"/>
    <xf numFmtId="166" fontId="3" fillId="0" borderId="18" xfId="0" applyNumberFormat="1" applyFont="1" applyBorder="1"/>
    <xf numFmtId="166" fontId="5" fillId="0" borderId="18" xfId="0" applyNumberFormat="1" applyFont="1" applyBorder="1"/>
    <xf numFmtId="165" fontId="6" fillId="2" borderId="0" xfId="0" applyNumberFormat="1" applyFont="1" applyFill="1"/>
    <xf numFmtId="0" fontId="5" fillId="0" borderId="0" xfId="0" applyFont="1"/>
    <xf numFmtId="0" fontId="19" fillId="0" borderId="0" xfId="0" applyFont="1"/>
    <xf numFmtId="0" fontId="20" fillId="3" borderId="21" xfId="0" applyFont="1" applyFill="1" applyBorder="1"/>
    <xf numFmtId="0" fontId="20" fillId="3" borderId="0" xfId="0" applyFont="1" applyFill="1"/>
    <xf numFmtId="165" fontId="20" fillId="4" borderId="21" xfId="0" applyNumberFormat="1" applyFont="1" applyFill="1" applyBorder="1" applyAlignment="1">
      <alignment horizontal="center"/>
    </xf>
    <xf numFmtId="0" fontId="21" fillId="0" borderId="0" xfId="0" applyFont="1"/>
    <xf numFmtId="165" fontId="18" fillId="2" borderId="0" xfId="0" applyNumberFormat="1" applyFont="1" applyFill="1"/>
    <xf numFmtId="165" fontId="18" fillId="0" borderId="0" xfId="0" applyNumberFormat="1" applyFont="1"/>
    <xf numFmtId="0" fontId="18" fillId="2" borderId="0" xfId="0" applyFont="1" applyFill="1"/>
    <xf numFmtId="0" fontId="4" fillId="2" borderId="1" xfId="0" applyFont="1" applyFill="1" applyBorder="1"/>
    <xf numFmtId="164" fontId="4" fillId="2" borderId="3" xfId="1" applyFont="1" applyFill="1" applyBorder="1"/>
    <xf numFmtId="0" fontId="21" fillId="2" borderId="0" xfId="0" applyFont="1" applyFill="1"/>
    <xf numFmtId="165" fontId="3" fillId="0" borderId="22" xfId="0" applyNumberFormat="1" applyFont="1" applyBorder="1"/>
    <xf numFmtId="49" fontId="3" fillId="2" borderId="4" xfId="0" applyNumberFormat="1" applyFont="1" applyFill="1" applyBorder="1"/>
    <xf numFmtId="164" fontId="3" fillId="5" borderId="5" xfId="1" applyFont="1" applyFill="1" applyBorder="1"/>
    <xf numFmtId="0" fontId="5" fillId="2" borderId="0" xfId="0" applyFont="1" applyFill="1"/>
    <xf numFmtId="0" fontId="19" fillId="2" borderId="0" xfId="0" applyFont="1" applyFill="1"/>
    <xf numFmtId="0" fontId="17" fillId="2" borderId="0" xfId="0" applyFont="1" applyFill="1"/>
    <xf numFmtId="165" fontId="20" fillId="0" borderId="23" xfId="0" applyNumberFormat="1" applyFont="1" applyBorder="1"/>
    <xf numFmtId="164" fontId="3" fillId="2" borderId="5" xfId="1" applyFont="1" applyFill="1" applyBorder="1"/>
    <xf numFmtId="165" fontId="3" fillId="0" borderId="24" xfId="0" applyNumberFormat="1" applyFont="1" applyBorder="1"/>
    <xf numFmtId="14" fontId="3" fillId="2" borderId="4" xfId="0" applyNumberFormat="1" applyFont="1" applyFill="1" applyBorder="1"/>
    <xf numFmtId="164" fontId="5" fillId="2" borderId="0" xfId="1" applyFont="1" applyFill="1"/>
    <xf numFmtId="43" fontId="5" fillId="2" borderId="0" xfId="0" applyNumberFormat="1" applyFont="1" applyFill="1"/>
    <xf numFmtId="14" fontId="3" fillId="2" borderId="17" xfId="0" applyNumberFormat="1" applyFont="1" applyFill="1" applyBorder="1"/>
    <xf numFmtId="164" fontId="3" fillId="5" borderId="20" xfId="1" applyFont="1" applyFill="1" applyBorder="1"/>
    <xf numFmtId="0" fontId="14" fillId="2" borderId="8" xfId="1" applyNumberFormat="1" applyFont="1" applyFill="1" applyBorder="1"/>
    <xf numFmtId="0" fontId="7" fillId="2" borderId="15" xfId="0" applyFont="1" applyFill="1" applyBorder="1"/>
    <xf numFmtId="164" fontId="17" fillId="2" borderId="9" xfId="1" applyFont="1" applyFill="1" applyBorder="1"/>
    <xf numFmtId="0" fontId="14" fillId="2" borderId="10" xfId="1" applyNumberFormat="1" applyFont="1" applyFill="1" applyBorder="1"/>
    <xf numFmtId="164" fontId="17" fillId="2" borderId="11" xfId="1" applyFont="1" applyFill="1" applyBorder="1"/>
    <xf numFmtId="165" fontId="4" fillId="0" borderId="25" xfId="0" applyNumberFormat="1" applyFont="1" applyBorder="1"/>
    <xf numFmtId="0" fontId="14" fillId="2" borderId="13" xfId="1" applyNumberFormat="1" applyFont="1" applyFill="1" applyBorder="1"/>
    <xf numFmtId="164" fontId="7" fillId="2" borderId="12" xfId="1" applyFont="1" applyFill="1" applyBorder="1"/>
    <xf numFmtId="164" fontId="17" fillId="2" borderId="14" xfId="1" applyFont="1" applyFill="1" applyBorder="1"/>
    <xf numFmtId="0" fontId="3" fillId="0" borderId="17" xfId="0" applyFont="1" applyBorder="1"/>
    <xf numFmtId="165" fontId="4" fillId="0" borderId="26" xfId="0" applyNumberFormat="1" applyFont="1" applyBorder="1"/>
    <xf numFmtId="164" fontId="19" fillId="2" borderId="0" xfId="1" applyFont="1" applyFill="1"/>
    <xf numFmtId="164" fontId="17" fillId="2" borderId="0" xfId="1" applyFont="1" applyFill="1"/>
    <xf numFmtId="0" fontId="14" fillId="2" borderId="0" xfId="1" applyNumberFormat="1" applyFont="1" applyFill="1"/>
    <xf numFmtId="0" fontId="23" fillId="0" borderId="27" xfId="0" applyFont="1" applyBorder="1" applyAlignment="1">
      <alignment horizontal="left" vertical="center"/>
    </xf>
    <xf numFmtId="165" fontId="23" fillId="0" borderId="27" xfId="0" applyNumberFormat="1" applyFont="1" applyBorder="1" applyAlignment="1">
      <alignment horizontal="right" vertical="center"/>
    </xf>
    <xf numFmtId="0" fontId="23" fillId="0" borderId="0" xfId="0" applyFont="1" applyAlignment="1">
      <alignment horizontal="left" vertical="center"/>
    </xf>
    <xf numFmtId="165" fontId="23" fillId="0" borderId="0" xfId="0" applyNumberFormat="1" applyFont="1" applyAlignment="1">
      <alignment horizontal="right" vertical="center"/>
    </xf>
    <xf numFmtId="0" fontId="23" fillId="0" borderId="0" xfId="0" applyFont="1" applyAlignment="1">
      <alignment horizontal="left" indent="1"/>
    </xf>
    <xf numFmtId="0" fontId="24" fillId="0" borderId="0" xfId="0" applyFont="1" applyAlignment="1">
      <alignment horizontal="left" indent="2"/>
    </xf>
    <xf numFmtId="165" fontId="24" fillId="0" borderId="0" xfId="0" applyNumberFormat="1" applyFont="1" applyAlignment="1">
      <alignment horizontal="right" vertical="center"/>
    </xf>
    <xf numFmtId="0" fontId="23" fillId="0" borderId="28" xfId="0" applyFont="1" applyBorder="1" applyAlignment="1">
      <alignment horizontal="left" indent="1"/>
    </xf>
    <xf numFmtId="165" fontId="23" fillId="0" borderId="28" xfId="0" applyNumberFormat="1" applyFont="1" applyBorder="1" applyAlignment="1">
      <alignment horizontal="right" vertical="center"/>
    </xf>
    <xf numFmtId="0" fontId="23" fillId="0" borderId="28" xfId="0" applyFont="1" applyBorder="1" applyAlignment="1">
      <alignment horizontal="left" vertical="center"/>
    </xf>
    <xf numFmtId="0" fontId="0" fillId="0" borderId="0" xfId="0" applyAlignment="1">
      <alignment wrapText="1"/>
    </xf>
    <xf numFmtId="0" fontId="16" fillId="6" borderId="0" xfId="0" applyFont="1" applyFill="1" applyAlignment="1">
      <alignment horizontal="left" wrapText="1"/>
    </xf>
    <xf numFmtId="0" fontId="16" fillId="6" borderId="0" xfId="0" applyFont="1" applyFill="1" applyAlignment="1">
      <alignment horizontal="right" wrapText="1"/>
    </xf>
    <xf numFmtId="0" fontId="16" fillId="6" borderId="0" xfId="0" applyFont="1" applyFill="1" applyAlignment="1">
      <alignment horizontal="left"/>
    </xf>
    <xf numFmtId="165" fontId="0" fillId="0" borderId="0" xfId="0" applyNumberFormat="1"/>
    <xf numFmtId="0" fontId="3" fillId="2" borderId="0" xfId="3" applyFont="1" applyFill="1"/>
    <xf numFmtId="0" fontId="14" fillId="2" borderId="12" xfId="0" applyFont="1" applyFill="1" applyBorder="1"/>
    <xf numFmtId="0" fontId="7" fillId="2" borderId="12" xfId="0" applyFont="1" applyFill="1" applyBorder="1"/>
    <xf numFmtId="0" fontId="14" fillId="2" borderId="12" xfId="0" applyFont="1" applyFill="1" applyBorder="1" applyAlignment="1">
      <alignment horizontal="center" vertical="center"/>
    </xf>
    <xf numFmtId="166" fontId="14" fillId="2" borderId="8" xfId="0" applyNumberFormat="1" applyFont="1" applyFill="1" applyBorder="1"/>
    <xf numFmtId="164" fontId="14" fillId="2" borderId="15" xfId="1" applyFont="1" applyFill="1" applyBorder="1"/>
    <xf numFmtId="164" fontId="14" fillId="2" borderId="9" xfId="1" applyFont="1" applyFill="1" applyBorder="1"/>
    <xf numFmtId="17" fontId="16" fillId="6" borderId="0" xfId="0" applyNumberFormat="1" applyFont="1" applyFill="1" applyAlignment="1">
      <alignment horizontal="right"/>
    </xf>
    <xf numFmtId="0" fontId="16" fillId="6" borderId="0" xfId="0" applyFont="1" applyFill="1" applyAlignment="1">
      <alignment horizontal="right"/>
    </xf>
    <xf numFmtId="0" fontId="26" fillId="0" borderId="0" xfId="0" applyFont="1" applyAlignment="1">
      <alignment horizontal="right"/>
    </xf>
    <xf numFmtId="0" fontId="9" fillId="0" borderId="0" xfId="0" applyFont="1"/>
    <xf numFmtId="0" fontId="22" fillId="0" borderId="0" xfId="3" applyFont="1"/>
    <xf numFmtId="0" fontId="16" fillId="6" borderId="0" xfId="3" applyFont="1" applyFill="1" applyAlignment="1">
      <alignment horizontal="left"/>
    </xf>
    <xf numFmtId="0" fontId="16" fillId="6" borderId="0" xfId="3" applyFont="1" applyFill="1" applyAlignment="1">
      <alignment horizontal="left" wrapText="1"/>
    </xf>
    <xf numFmtId="0" fontId="16" fillId="6" borderId="0" xfId="3" applyFont="1" applyFill="1" applyAlignment="1">
      <alignment horizontal="right" wrapText="1"/>
    </xf>
    <xf numFmtId="0" fontId="23" fillId="0" borderId="0" xfId="3" applyFont="1" applyAlignment="1">
      <alignment horizontal="left" vertical="center"/>
    </xf>
    <xf numFmtId="165" fontId="23" fillId="0" borderId="0" xfId="3" applyNumberFormat="1" applyFont="1" applyAlignment="1">
      <alignment horizontal="right" vertical="center"/>
    </xf>
    <xf numFmtId="0" fontId="23" fillId="0" borderId="0" xfId="3" applyFont="1" applyAlignment="1">
      <alignment horizontal="left" indent="1"/>
    </xf>
    <xf numFmtId="0" fontId="24" fillId="0" borderId="0" xfId="3" applyFont="1" applyAlignment="1">
      <alignment horizontal="left" indent="2"/>
    </xf>
    <xf numFmtId="165" fontId="24" fillId="0" borderId="0" xfId="3" applyNumberFormat="1" applyFont="1" applyAlignment="1">
      <alignment horizontal="right" vertical="center"/>
    </xf>
    <xf numFmtId="0" fontId="23" fillId="0" borderId="28" xfId="3" applyFont="1" applyBorder="1" applyAlignment="1">
      <alignment horizontal="left" indent="1"/>
    </xf>
    <xf numFmtId="165" fontId="23" fillId="0" borderId="28" xfId="3" applyNumberFormat="1" applyFont="1" applyBorder="1" applyAlignment="1">
      <alignment horizontal="right" vertical="center"/>
    </xf>
    <xf numFmtId="0" fontId="23" fillId="0" borderId="28" xfId="3" applyFont="1" applyBorder="1" applyAlignment="1">
      <alignment horizontal="left" vertical="center"/>
    </xf>
    <xf numFmtId="0" fontId="24" fillId="0" borderId="0" xfId="3" applyFont="1" applyAlignment="1">
      <alignment horizontal="left" indent="1"/>
    </xf>
    <xf numFmtId="0" fontId="23" fillId="0" borderId="27" xfId="3" applyFont="1" applyBorder="1" applyAlignment="1">
      <alignment horizontal="left" vertical="center"/>
    </xf>
    <xf numFmtId="165" fontId="23" fillId="0" borderId="27" xfId="3" applyNumberFormat="1" applyFont="1" applyBorder="1" applyAlignment="1">
      <alignment horizontal="right" vertical="center"/>
    </xf>
    <xf numFmtId="0" fontId="22" fillId="0" borderId="0" xfId="0" applyFont="1"/>
    <xf numFmtId="0" fontId="24" fillId="0" borderId="0" xfId="0" applyFont="1" applyAlignment="1">
      <alignment horizontal="left" indent="1"/>
    </xf>
    <xf numFmtId="0" fontId="9" fillId="0" borderId="0" xfId="6"/>
    <xf numFmtId="0" fontId="16" fillId="6" borderId="0" xfId="6" applyFont="1" applyFill="1" applyAlignment="1">
      <alignment horizontal="left"/>
    </xf>
    <xf numFmtId="0" fontId="16" fillId="6" borderId="0" xfId="6" applyFont="1" applyFill="1" applyAlignment="1">
      <alignment horizontal="right"/>
    </xf>
    <xf numFmtId="0" fontId="23" fillId="0" borderId="27" xfId="6" applyFont="1" applyBorder="1" applyAlignment="1">
      <alignment horizontal="left" vertical="center"/>
    </xf>
    <xf numFmtId="165" fontId="23" fillId="0" borderId="27" xfId="6" applyNumberFormat="1" applyFont="1" applyBorder="1" applyAlignment="1">
      <alignment horizontal="right" vertical="center"/>
    </xf>
    <xf numFmtId="0" fontId="23" fillId="0" borderId="0" xfId="6" applyFont="1" applyAlignment="1">
      <alignment horizontal="left" vertical="center"/>
    </xf>
    <xf numFmtId="165" fontId="23" fillId="0" borderId="0" xfId="6" applyNumberFormat="1" applyFont="1" applyAlignment="1">
      <alignment horizontal="right" vertical="center"/>
    </xf>
    <xf numFmtId="0" fontId="23" fillId="0" borderId="0" xfId="6" applyFont="1" applyAlignment="1">
      <alignment horizontal="left" indent="1"/>
    </xf>
    <xf numFmtId="0" fontId="24" fillId="0" borderId="0" xfId="6" applyFont="1" applyAlignment="1">
      <alignment horizontal="left" indent="2"/>
    </xf>
    <xf numFmtId="165" fontId="24" fillId="0" borderId="0" xfId="6" applyNumberFormat="1" applyFont="1" applyAlignment="1">
      <alignment horizontal="right" vertical="center"/>
    </xf>
    <xf numFmtId="0" fontId="23" fillId="0" borderId="28" xfId="6" applyFont="1" applyBorder="1" applyAlignment="1">
      <alignment horizontal="left" indent="1"/>
    </xf>
    <xf numFmtId="165" fontId="23" fillId="0" borderId="28" xfId="6" applyNumberFormat="1" applyFont="1" applyBorder="1" applyAlignment="1">
      <alignment horizontal="right" vertical="center"/>
    </xf>
    <xf numFmtId="0" fontId="23" fillId="0" borderId="28" xfId="6" applyFont="1" applyBorder="1" applyAlignment="1">
      <alignment horizontal="left" vertical="center"/>
    </xf>
    <xf numFmtId="0" fontId="7" fillId="2" borderId="4" xfId="0" applyFont="1" applyFill="1" applyBorder="1"/>
    <xf numFmtId="165" fontId="4" fillId="0" borderId="16" xfId="0" applyNumberFormat="1" applyFont="1" applyBorder="1" applyAlignment="1">
      <alignment horizontal="center"/>
    </xf>
    <xf numFmtId="165" fontId="14" fillId="0" borderId="0" xfId="0" applyNumberFormat="1" applyFont="1"/>
    <xf numFmtId="0" fontId="9" fillId="0" borderId="0" xfId="3" applyAlignment="1">
      <alignment wrapText="1"/>
    </xf>
    <xf numFmtId="165" fontId="4" fillId="2" borderId="6" xfId="0" quotePrefix="1" applyNumberFormat="1" applyFont="1" applyFill="1" applyBorder="1" applyAlignment="1">
      <alignment horizontal="center"/>
    </xf>
    <xf numFmtId="165" fontId="9" fillId="0" borderId="0" xfId="6" applyNumberFormat="1"/>
    <xf numFmtId="166" fontId="6" fillId="0" borderId="2" xfId="0" applyNumberFormat="1" applyFont="1" applyBorder="1"/>
    <xf numFmtId="166" fontId="6" fillId="0" borderId="7" xfId="0" applyNumberFormat="1" applyFont="1" applyBorder="1"/>
    <xf numFmtId="166" fontId="8" fillId="0" borderId="19" xfId="0" applyNumberFormat="1" applyFont="1" applyBorder="1"/>
    <xf numFmtId="166" fontId="6" fillId="0" borderId="18" xfId="0" applyNumberFormat="1" applyFont="1" applyBorder="1"/>
    <xf numFmtId="1" fontId="0" fillId="0" borderId="0" xfId="0" applyNumberFormat="1" applyAlignment="1">
      <alignment horizontal="center"/>
    </xf>
    <xf numFmtId="0" fontId="16" fillId="6" borderId="0" xfId="3" applyFont="1" applyFill="1" applyAlignment="1">
      <alignment horizontal="right"/>
    </xf>
    <xf numFmtId="0" fontId="44" fillId="0" borderId="0" xfId="0" applyFont="1" applyAlignment="1">
      <alignment horizontal="left" indent="2"/>
    </xf>
    <xf numFmtId="165" fontId="44" fillId="0" borderId="0" xfId="0" applyNumberFormat="1" applyFont="1" applyAlignment="1">
      <alignment horizontal="right" vertical="center"/>
    </xf>
    <xf numFmtId="0" fontId="24" fillId="5" borderId="0" xfId="0" applyFont="1" applyFill="1" applyAlignment="1">
      <alignment horizontal="left" indent="2"/>
    </xf>
    <xf numFmtId="165" fontId="24" fillId="5" borderId="0" xfId="0" applyNumberFormat="1" applyFont="1" applyFill="1" applyAlignment="1">
      <alignment horizontal="right" vertical="center"/>
    </xf>
    <xf numFmtId="44" fontId="0" fillId="0" borderId="0" xfId="70" applyFont="1"/>
    <xf numFmtId="169" fontId="0" fillId="0" borderId="0" xfId="1" applyNumberFormat="1" applyFont="1"/>
    <xf numFmtId="169" fontId="13" fillId="36" borderId="6" xfId="46" applyNumberFormat="1" applyFont="1" applyBorder="1" applyAlignment="1">
      <alignment horizontal="center" wrapText="1"/>
    </xf>
    <xf numFmtId="169" fontId="13" fillId="0" borderId="6" xfId="1" applyNumberFormat="1" applyFont="1" applyBorder="1" applyAlignment="1">
      <alignment horizontal="center" wrapText="1"/>
    </xf>
    <xf numFmtId="0" fontId="0" fillId="0" borderId="6" xfId="0" applyBorder="1" applyAlignment="1">
      <alignment wrapText="1"/>
    </xf>
    <xf numFmtId="44" fontId="19" fillId="5" borderId="6" xfId="70" applyFont="1" applyFill="1" applyBorder="1" applyAlignment="1">
      <alignment wrapText="1"/>
    </xf>
    <xf numFmtId="169" fontId="1" fillId="36" borderId="6" xfId="46" applyNumberFormat="1" applyBorder="1" applyAlignment="1">
      <alignment horizontal="right" wrapText="1"/>
    </xf>
    <xf numFmtId="169" fontId="0" fillId="0" borderId="6" xfId="1" applyNumberFormat="1" applyFont="1" applyBorder="1" applyAlignment="1">
      <alignment horizontal="right" wrapText="1"/>
    </xf>
    <xf numFmtId="0" fontId="0" fillId="0" borderId="6" xfId="0" applyBorder="1"/>
    <xf numFmtId="169" fontId="1" fillId="36" borderId="6" xfId="46" applyNumberFormat="1" applyBorder="1" applyAlignment="1">
      <alignment horizontal="right"/>
    </xf>
    <xf numFmtId="169" fontId="0" fillId="0" borderId="6" xfId="1" applyNumberFormat="1" applyFont="1" applyBorder="1" applyAlignment="1">
      <alignment horizontal="right"/>
    </xf>
    <xf numFmtId="44" fontId="0" fillId="5" borderId="0" xfId="70" applyFont="1" applyFill="1"/>
    <xf numFmtId="169" fontId="1" fillId="36" borderId="0" xfId="46" applyNumberFormat="1" applyAlignment="1">
      <alignment horizontal="right"/>
    </xf>
    <xf numFmtId="169" fontId="0" fillId="0" borderId="0" xfId="1" applyNumberFormat="1" applyFont="1" applyAlignment="1">
      <alignment horizontal="right"/>
    </xf>
    <xf numFmtId="0" fontId="0" fillId="0" borderId="38" xfId="0" applyBorder="1"/>
    <xf numFmtId="169" fontId="1" fillId="36" borderId="14" xfId="46" applyNumberFormat="1" applyBorder="1" applyAlignment="1">
      <alignment horizontal="right"/>
    </xf>
    <xf numFmtId="169" fontId="0" fillId="0" borderId="38" xfId="1" applyNumberFormat="1" applyFont="1" applyBorder="1" applyAlignment="1">
      <alignment horizontal="right"/>
    </xf>
    <xf numFmtId="0" fontId="13" fillId="0" borderId="6" xfId="0" applyFont="1" applyBorder="1"/>
    <xf numFmtId="44" fontId="13" fillId="5" borderId="6" xfId="70" applyFont="1" applyFill="1" applyBorder="1"/>
    <xf numFmtId="169" fontId="13" fillId="36" borderId="6" xfId="46" applyNumberFormat="1" applyFont="1" applyBorder="1" applyAlignment="1">
      <alignment horizontal="right"/>
    </xf>
    <xf numFmtId="169" fontId="13" fillId="0" borderId="6" xfId="1" applyNumberFormat="1" applyFont="1" applyBorder="1" applyAlignment="1">
      <alignment horizontal="right"/>
    </xf>
    <xf numFmtId="169" fontId="0" fillId="38" borderId="6" xfId="1" applyNumberFormat="1" applyFont="1" applyFill="1" applyBorder="1"/>
    <xf numFmtId="169" fontId="0" fillId="0" borderId="6" xfId="1" applyNumberFormat="1" applyFont="1" applyBorder="1"/>
    <xf numFmtId="169" fontId="0" fillId="0" borderId="6" xfId="1" applyNumberFormat="1" applyFont="1" applyFill="1" applyBorder="1" applyAlignment="1">
      <alignment horizontal="right"/>
    </xf>
    <xf numFmtId="0" fontId="13" fillId="0" borderId="39" xfId="0" applyFont="1" applyBorder="1"/>
    <xf numFmtId="44" fontId="13" fillId="5" borderId="39" xfId="70" applyFont="1" applyFill="1" applyBorder="1"/>
    <xf numFmtId="169" fontId="13" fillId="38" borderId="39" xfId="1" applyNumberFormat="1" applyFont="1" applyFill="1" applyBorder="1"/>
    <xf numFmtId="169" fontId="13" fillId="0" borderId="39" xfId="1" applyNumberFormat="1" applyFont="1" applyBorder="1"/>
    <xf numFmtId="169" fontId="13" fillId="0" borderId="39" xfId="1" applyNumberFormat="1" applyFont="1" applyFill="1" applyBorder="1" applyAlignment="1">
      <alignment horizontal="right"/>
    </xf>
    <xf numFmtId="0" fontId="13" fillId="0" borderId="0" xfId="0" applyFont="1"/>
    <xf numFmtId="44" fontId="13" fillId="0" borderId="0" xfId="70" applyFont="1"/>
    <xf numFmtId="169" fontId="13" fillId="0" borderId="0" xfId="1" applyNumberFormat="1" applyFont="1" applyBorder="1"/>
    <xf numFmtId="169" fontId="13" fillId="0" borderId="0" xfId="1" applyNumberFormat="1" applyFont="1" applyBorder="1" applyAlignment="1">
      <alignment horizontal="right"/>
    </xf>
    <xf numFmtId="169" fontId="13" fillId="0" borderId="0" xfId="1" applyNumberFormat="1" applyFont="1"/>
    <xf numFmtId="169" fontId="13" fillId="0" borderId="0" xfId="1" applyNumberFormat="1" applyFont="1" applyFill="1" applyBorder="1" applyAlignment="1">
      <alignment horizontal="right"/>
    </xf>
    <xf numFmtId="169" fontId="13" fillId="0" borderId="0" xfId="1" applyNumberFormat="1" applyFont="1" applyFill="1"/>
    <xf numFmtId="165" fontId="4" fillId="0" borderId="6" xfId="0" quotePrefix="1" applyNumberFormat="1" applyFont="1" applyBorder="1" applyAlignment="1">
      <alignment horizontal="center"/>
    </xf>
    <xf numFmtId="0" fontId="26" fillId="0" borderId="0" xfId="0" applyFont="1" applyAlignment="1">
      <alignment wrapText="1"/>
    </xf>
    <xf numFmtId="1" fontId="0" fillId="0" borderId="0" xfId="0" applyNumberFormat="1" applyAlignment="1">
      <alignment horizontal="center" wrapText="1"/>
    </xf>
    <xf numFmtId="0" fontId="43" fillId="0" borderId="0" xfId="69"/>
    <xf numFmtId="164" fontId="6" fillId="0" borderId="0" xfId="1" applyFont="1" applyFill="1"/>
    <xf numFmtId="169" fontId="0" fillId="0" borderId="0" xfId="1" applyNumberFormat="1" applyFont="1" applyFill="1"/>
    <xf numFmtId="0" fontId="13" fillId="0" borderId="6" xfId="0" applyFont="1" applyBorder="1" applyAlignment="1">
      <alignment horizontal="center" wrapText="1"/>
    </xf>
    <xf numFmtId="169" fontId="13" fillId="0" borderId="6" xfId="1" applyNumberFormat="1" applyFont="1" applyFill="1" applyBorder="1" applyAlignment="1">
      <alignment horizontal="center" wrapText="1"/>
    </xf>
    <xf numFmtId="9" fontId="0" fillId="0" borderId="6" xfId="2" applyFont="1" applyBorder="1" applyAlignment="1">
      <alignment wrapText="1"/>
    </xf>
    <xf numFmtId="8" fontId="19" fillId="5" borderId="6" xfId="70" applyNumberFormat="1" applyFont="1" applyFill="1" applyBorder="1" applyAlignment="1">
      <alignment wrapText="1"/>
    </xf>
    <xf numFmtId="8" fontId="0" fillId="0" borderId="6" xfId="1" applyNumberFormat="1" applyFont="1" applyFill="1" applyBorder="1" applyAlignment="1">
      <alignment horizontal="right" wrapText="1"/>
    </xf>
    <xf numFmtId="8" fontId="1" fillId="36" borderId="6" xfId="46" applyNumberFormat="1" applyBorder="1" applyAlignment="1">
      <alignment horizontal="right" wrapText="1"/>
    </xf>
    <xf numFmtId="8" fontId="0" fillId="0" borderId="6" xfId="1" applyNumberFormat="1" applyFont="1" applyBorder="1" applyAlignment="1">
      <alignment horizontal="right" wrapText="1"/>
    </xf>
    <xf numFmtId="44" fontId="7" fillId="5" borderId="6" xfId="70" applyFont="1" applyFill="1" applyBorder="1" applyAlignment="1">
      <alignment wrapText="1"/>
    </xf>
    <xf numFmtId="8" fontId="7" fillId="5" borderId="6" xfId="70" applyNumberFormat="1" applyFont="1" applyFill="1" applyBorder="1" applyAlignment="1">
      <alignment wrapText="1"/>
    </xf>
    <xf numFmtId="8" fontId="0" fillId="0" borderId="6" xfId="1" applyNumberFormat="1" applyFont="1" applyFill="1" applyBorder="1" applyAlignment="1">
      <alignment horizontal="right"/>
    </xf>
    <xf numFmtId="8" fontId="1" fillId="36" borderId="6" xfId="46" applyNumberFormat="1" applyBorder="1" applyAlignment="1">
      <alignment horizontal="right"/>
    </xf>
    <xf numFmtId="8" fontId="0" fillId="0" borderId="6" xfId="1" applyNumberFormat="1" applyFont="1" applyBorder="1" applyAlignment="1">
      <alignment horizontal="right"/>
    </xf>
    <xf numFmtId="8" fontId="0" fillId="5" borderId="0" xfId="70" applyNumberFormat="1" applyFont="1" applyFill="1"/>
    <xf numFmtId="8" fontId="0" fillId="0" borderId="0" xfId="1" applyNumberFormat="1" applyFont="1" applyFill="1" applyAlignment="1">
      <alignment horizontal="right"/>
    </xf>
    <xf numFmtId="8" fontId="1" fillId="36" borderId="0" xfId="46" applyNumberFormat="1" applyAlignment="1">
      <alignment horizontal="right"/>
    </xf>
    <xf numFmtId="8" fontId="0" fillId="0" borderId="0" xfId="1" applyNumberFormat="1" applyFont="1" applyAlignment="1">
      <alignment horizontal="right"/>
    </xf>
    <xf numFmtId="9" fontId="0" fillId="0" borderId="38" xfId="2" applyFont="1" applyBorder="1"/>
    <xf numFmtId="8" fontId="0" fillId="0" borderId="38" xfId="1" applyNumberFormat="1" applyFont="1" applyFill="1" applyBorder="1" applyAlignment="1">
      <alignment horizontal="right"/>
    </xf>
    <xf numFmtId="8" fontId="1" fillId="36" borderId="14" xfId="46" applyNumberFormat="1" applyBorder="1" applyAlignment="1">
      <alignment horizontal="right"/>
    </xf>
    <xf numFmtId="8" fontId="0" fillId="0" borderId="38" xfId="1" applyNumberFormat="1" applyFont="1" applyBorder="1" applyAlignment="1">
      <alignment horizontal="right"/>
    </xf>
    <xf numFmtId="9" fontId="0" fillId="0" borderId="6" xfId="2" applyFont="1" applyBorder="1"/>
    <xf numFmtId="9" fontId="13" fillId="0" borderId="6" xfId="2" applyFont="1" applyBorder="1"/>
    <xf numFmtId="8" fontId="13" fillId="5" borderId="6" xfId="70" applyNumberFormat="1" applyFont="1" applyFill="1" applyBorder="1"/>
    <xf numFmtId="8" fontId="13" fillId="0" borderId="6" xfId="1" applyNumberFormat="1" applyFont="1" applyFill="1" applyBorder="1" applyAlignment="1">
      <alignment horizontal="right"/>
    </xf>
    <xf numFmtId="8" fontId="13" fillId="36" borderId="6" xfId="46" applyNumberFormat="1" applyFont="1" applyBorder="1" applyAlignment="1">
      <alignment horizontal="right"/>
    </xf>
    <xf numFmtId="8" fontId="13" fillId="0" borderId="6" xfId="1" applyNumberFormat="1" applyFont="1" applyBorder="1" applyAlignment="1">
      <alignment horizontal="right"/>
    </xf>
    <xf numFmtId="8" fontId="0" fillId="38" borderId="6" xfId="1" applyNumberFormat="1" applyFont="1" applyFill="1" applyBorder="1"/>
    <xf numFmtId="0" fontId="14" fillId="2" borderId="0" xfId="0" applyFont="1" applyFill="1"/>
    <xf numFmtId="0" fontId="13" fillId="0" borderId="40" xfId="0" applyFont="1" applyBorder="1"/>
    <xf numFmtId="9" fontId="13" fillId="0" borderId="40" xfId="2" applyFont="1" applyBorder="1" applyAlignment="1">
      <alignment wrapText="1"/>
    </xf>
    <xf numFmtId="44" fontId="14" fillId="5" borderId="40" xfId="70" applyFont="1" applyFill="1" applyBorder="1" applyAlignment="1">
      <alignment wrapText="1"/>
    </xf>
    <xf numFmtId="8" fontId="13" fillId="0" borderId="40" xfId="1" applyNumberFormat="1" applyFont="1" applyFill="1" applyBorder="1" applyAlignment="1">
      <alignment horizontal="right"/>
    </xf>
    <xf numFmtId="8" fontId="13" fillId="38" borderId="40" xfId="1" applyNumberFormat="1" applyFont="1" applyFill="1" applyBorder="1"/>
    <xf numFmtId="8" fontId="13" fillId="0" borderId="40" xfId="1" applyNumberFormat="1" applyFont="1" applyBorder="1" applyAlignment="1">
      <alignment horizontal="right"/>
    </xf>
    <xf numFmtId="169" fontId="13" fillId="0" borderId="40" xfId="1" applyNumberFormat="1" applyFont="1" applyBorder="1"/>
    <xf numFmtId="169" fontId="13" fillId="38" borderId="40" xfId="1" applyNumberFormat="1" applyFont="1" applyFill="1" applyBorder="1"/>
    <xf numFmtId="169" fontId="13" fillId="0" borderId="40" xfId="1" applyNumberFormat="1" applyFont="1" applyFill="1" applyBorder="1" applyAlignment="1">
      <alignment horizontal="right"/>
    </xf>
    <xf numFmtId="0" fontId="0" fillId="0" borderId="40" xfId="0" applyBorder="1"/>
    <xf numFmtId="9" fontId="0" fillId="0" borderId="40" xfId="2" applyFont="1" applyBorder="1" applyAlignment="1">
      <alignment wrapText="1"/>
    </xf>
    <xf numFmtId="44" fontId="7" fillId="5" borderId="40" xfId="70" applyFont="1" applyFill="1" applyBorder="1" applyAlignment="1">
      <alignment wrapText="1"/>
    </xf>
    <xf numFmtId="8" fontId="19" fillId="5" borderId="40" xfId="70" applyNumberFormat="1" applyFont="1" applyFill="1" applyBorder="1" applyAlignment="1">
      <alignment wrapText="1"/>
    </xf>
    <xf numFmtId="8" fontId="0" fillId="0" borderId="40" xfId="1" applyNumberFormat="1" applyFont="1" applyFill="1" applyBorder="1" applyAlignment="1">
      <alignment horizontal="right"/>
    </xf>
    <xf numFmtId="8" fontId="0" fillId="38" borderId="40" xfId="1" applyNumberFormat="1" applyFont="1" applyFill="1" applyBorder="1"/>
    <xf numFmtId="8" fontId="0" fillId="0" borderId="40" xfId="1" applyNumberFormat="1" applyFont="1" applyBorder="1" applyAlignment="1">
      <alignment horizontal="right"/>
    </xf>
    <xf numFmtId="169" fontId="0" fillId="0" borderId="40" xfId="1" applyNumberFormat="1" applyFont="1" applyBorder="1"/>
    <xf numFmtId="169" fontId="0" fillId="38" borderId="40" xfId="1" applyNumberFormat="1" applyFont="1" applyFill="1" applyBorder="1"/>
    <xf numFmtId="169" fontId="0" fillId="0" borderId="40" xfId="1" applyNumberFormat="1" applyFont="1" applyFill="1" applyBorder="1" applyAlignment="1">
      <alignment horizontal="right"/>
    </xf>
    <xf numFmtId="9" fontId="13" fillId="0" borderId="39" xfId="0" applyNumberFormat="1" applyFont="1" applyBorder="1"/>
    <xf numFmtId="8" fontId="13" fillId="5" borderId="39" xfId="70" applyNumberFormat="1" applyFont="1" applyFill="1" applyBorder="1"/>
    <xf numFmtId="8" fontId="13" fillId="0" borderId="39" xfId="1" applyNumberFormat="1" applyFont="1" applyFill="1" applyBorder="1" applyAlignment="1">
      <alignment horizontal="right"/>
    </xf>
    <xf numFmtId="8" fontId="13" fillId="38" borderId="39" xfId="1" applyNumberFormat="1" applyFont="1" applyFill="1" applyBorder="1"/>
    <xf numFmtId="8" fontId="13" fillId="0" borderId="39" xfId="1" applyNumberFormat="1" applyFont="1" applyBorder="1" applyAlignment="1">
      <alignment horizontal="right"/>
    </xf>
    <xf numFmtId="44" fontId="13" fillId="0" borderId="6" xfId="70" quotePrefix="1" applyFont="1" applyBorder="1" applyAlignment="1">
      <alignment horizontal="center"/>
    </xf>
    <xf numFmtId="169" fontId="13" fillId="0" borderId="6" xfId="1" quotePrefix="1" applyNumberFormat="1" applyFont="1" applyFill="1" applyBorder="1" applyAlignment="1">
      <alignment horizontal="center" wrapText="1"/>
    </xf>
    <xf numFmtId="169" fontId="13" fillId="0" borderId="6" xfId="1" quotePrefix="1" applyNumberFormat="1" applyFont="1" applyFill="1" applyBorder="1" applyAlignment="1">
      <alignment horizontal="center"/>
    </xf>
    <xf numFmtId="169" fontId="13" fillId="0" borderId="6" xfId="1" applyNumberFormat="1" applyFont="1" applyBorder="1" applyAlignment="1">
      <alignment horizontal="center"/>
    </xf>
    <xf numFmtId="169" fontId="13" fillId="0" borderId="6" xfId="1" quotePrefix="1" applyNumberFormat="1" applyFont="1" applyBorder="1" applyAlignment="1">
      <alignment horizontal="center"/>
    </xf>
    <xf numFmtId="169" fontId="0" fillId="0" borderId="0" xfId="1" applyNumberFormat="1" applyFont="1" applyAlignment="1">
      <alignment horizontal="center"/>
    </xf>
    <xf numFmtId="0" fontId="26" fillId="0" borderId="28" xfId="0" applyFont="1" applyBorder="1" applyAlignment="1">
      <alignment horizontal="left" indent="1"/>
    </xf>
    <xf numFmtId="167" fontId="0" fillId="0" borderId="6" xfId="70" applyNumberFormat="1" applyFont="1" applyBorder="1"/>
    <xf numFmtId="167" fontId="0" fillId="0" borderId="6" xfId="1" applyNumberFormat="1" applyFont="1" applyFill="1" applyBorder="1"/>
    <xf numFmtId="167" fontId="0" fillId="0" borderId="6" xfId="1" applyNumberFormat="1" applyFont="1" applyBorder="1"/>
    <xf numFmtId="6" fontId="0" fillId="0" borderId="6" xfId="1" applyNumberFormat="1" applyFont="1" applyFill="1" applyBorder="1"/>
    <xf numFmtId="6" fontId="0" fillId="0" borderId="6" xfId="1" applyNumberFormat="1" applyFont="1" applyBorder="1"/>
    <xf numFmtId="0" fontId="26" fillId="0" borderId="28" xfId="0" applyFont="1" applyBorder="1" applyAlignment="1">
      <alignment horizontal="left" vertical="center"/>
    </xf>
    <xf numFmtId="9" fontId="0" fillId="0" borderId="6" xfId="2" applyFont="1" applyFill="1" applyBorder="1"/>
    <xf numFmtId="9" fontId="19" fillId="0" borderId="6" xfId="2" applyFont="1" applyBorder="1"/>
    <xf numFmtId="9" fontId="7" fillId="0" borderId="6" xfId="2" applyFont="1" applyFill="1" applyBorder="1"/>
    <xf numFmtId="9" fontId="19" fillId="0" borderId="6" xfId="2" applyFont="1" applyFill="1" applyBorder="1"/>
    <xf numFmtId="44" fontId="0" fillId="0" borderId="6" xfId="70" applyFont="1" applyBorder="1"/>
    <xf numFmtId="169" fontId="0" fillId="0" borderId="6" xfId="1" applyNumberFormat="1" applyFont="1" applyFill="1" applyBorder="1"/>
    <xf numFmtId="8" fontId="0" fillId="0" borderId="0" xfId="0" applyNumberFormat="1"/>
    <xf numFmtId="0" fontId="24" fillId="0" borderId="0" xfId="0" applyFont="1" applyAlignment="1" applyProtection="1">
      <alignment horizontal="left" indent="2"/>
      <protection locked="0"/>
    </xf>
    <xf numFmtId="165" fontId="24" fillId="0" borderId="0" xfId="0" applyNumberFormat="1" applyFont="1" applyAlignment="1" applyProtection="1">
      <alignment horizontal="right" vertical="center"/>
      <protection locked="0"/>
    </xf>
    <xf numFmtId="0" fontId="0" fillId="0" borderId="0" xfId="0" applyProtection="1">
      <protection locked="0"/>
    </xf>
    <xf numFmtId="0" fontId="24" fillId="0" borderId="0" xfId="0" applyFont="1" applyAlignment="1" applyProtection="1">
      <alignment horizontal="left" indent="1"/>
      <protection locked="0"/>
    </xf>
    <xf numFmtId="0" fontId="24" fillId="0" borderId="4" xfId="0" applyFont="1" applyBorder="1" applyAlignment="1">
      <alignment horizontal="left" indent="2"/>
    </xf>
    <xf numFmtId="165" fontId="24" fillId="0" borderId="5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indent="2"/>
    </xf>
    <xf numFmtId="0" fontId="45" fillId="0" borderId="2" xfId="0" applyFont="1" applyBorder="1"/>
    <xf numFmtId="0" fontId="45" fillId="0" borderId="3" xfId="0" applyFont="1" applyBorder="1"/>
    <xf numFmtId="0" fontId="45" fillId="0" borderId="0" xfId="0" applyFont="1"/>
    <xf numFmtId="0" fontId="45" fillId="0" borderId="17" xfId="0" applyFont="1" applyBorder="1"/>
    <xf numFmtId="165" fontId="23" fillId="0" borderId="18" xfId="0" applyNumberFormat="1" applyFont="1" applyBorder="1" applyAlignment="1">
      <alignment horizontal="right" vertical="center"/>
    </xf>
    <xf numFmtId="165" fontId="23" fillId="0" borderId="20" xfId="0" applyNumberFormat="1" applyFont="1" applyBorder="1" applyAlignment="1">
      <alignment horizontal="right" vertical="center"/>
    </xf>
    <xf numFmtId="10" fontId="23" fillId="0" borderId="0" xfId="71" applyNumberFormat="1" applyFont="1" applyAlignment="1">
      <alignment horizontal="right" vertical="center"/>
    </xf>
    <xf numFmtId="9" fontId="23" fillId="0" borderId="0" xfId="71" applyFont="1" applyFill="1" applyBorder="1" applyAlignment="1">
      <alignment horizontal="right" vertical="center"/>
    </xf>
    <xf numFmtId="9" fontId="23" fillId="0" borderId="0" xfId="71" applyFont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44" fontId="13" fillId="5" borderId="6" xfId="70" applyFont="1" applyFill="1" applyBorder="1" applyAlignment="1">
      <alignment horizontal="center" wrapText="1"/>
    </xf>
    <xf numFmtId="44" fontId="13" fillId="38" borderId="6" xfId="7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8" fontId="7" fillId="38" borderId="6" xfId="70" applyNumberFormat="1" applyFont="1" applyFill="1" applyBorder="1" applyAlignment="1">
      <alignment wrapText="1"/>
    </xf>
    <xf numFmtId="8" fontId="0" fillId="38" borderId="0" xfId="70" applyNumberFormat="1" applyFont="1" applyFill="1"/>
    <xf numFmtId="8" fontId="19" fillId="38" borderId="6" xfId="70" applyNumberFormat="1" applyFont="1" applyFill="1" applyBorder="1" applyAlignment="1">
      <alignment wrapText="1"/>
    </xf>
    <xf numFmtId="8" fontId="13" fillId="38" borderId="6" xfId="70" applyNumberFormat="1" applyFont="1" applyFill="1" applyBorder="1"/>
    <xf numFmtId="8" fontId="21" fillId="5" borderId="40" xfId="70" applyNumberFormat="1" applyFont="1" applyFill="1" applyBorder="1" applyAlignment="1">
      <alignment wrapText="1"/>
    </xf>
    <xf numFmtId="8" fontId="14" fillId="38" borderId="40" xfId="70" applyNumberFormat="1" applyFont="1" applyFill="1" applyBorder="1" applyAlignment="1">
      <alignment wrapText="1"/>
    </xf>
    <xf numFmtId="8" fontId="7" fillId="38" borderId="40" xfId="70" applyNumberFormat="1" applyFont="1" applyFill="1" applyBorder="1" applyAlignment="1">
      <alignment wrapText="1"/>
    </xf>
    <xf numFmtId="8" fontId="13" fillId="38" borderId="39" xfId="70" applyNumberFormat="1" applyFont="1" applyFill="1" applyBorder="1"/>
    <xf numFmtId="165" fontId="8" fillId="0" borderId="0" xfId="0" applyNumberFormat="1" applyFont="1"/>
    <xf numFmtId="0" fontId="25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5" fillId="0" borderId="0" xfId="3" applyFont="1" applyAlignment="1">
      <alignment horizontal="center"/>
    </xf>
    <xf numFmtId="0" fontId="22" fillId="0" borderId="0" xfId="3" applyFont="1" applyAlignment="1">
      <alignment horizontal="center"/>
    </xf>
    <xf numFmtId="0" fontId="25" fillId="0" borderId="0" xfId="6" applyFont="1" applyAlignment="1">
      <alignment horizontal="center"/>
    </xf>
    <xf numFmtId="0" fontId="22" fillId="0" borderId="0" xfId="6" applyFont="1" applyAlignment="1">
      <alignment horizontal="center"/>
    </xf>
    <xf numFmtId="166" fontId="6" fillId="5" borderId="0" xfId="0" applyNumberFormat="1" applyFont="1" applyFill="1"/>
    <xf numFmtId="0" fontId="3" fillId="5" borderId="4" xfId="0" applyFont="1" applyFill="1" applyBorder="1"/>
    <xf numFmtId="0" fontId="3" fillId="5" borderId="0" xfId="0" applyFont="1" applyFill="1"/>
    <xf numFmtId="165" fontId="3" fillId="5" borderId="0" xfId="0" applyNumberFormat="1" applyFont="1" applyFill="1"/>
    <xf numFmtId="166" fontId="3" fillId="5" borderId="0" xfId="0" applyNumberFormat="1" applyFont="1" applyFill="1"/>
    <xf numFmtId="167" fontId="3" fillId="5" borderId="0" xfId="0" applyNumberFormat="1" applyFont="1" applyFill="1"/>
    <xf numFmtId="164" fontId="3" fillId="5" borderId="0" xfId="1" applyFont="1" applyFill="1"/>
    <xf numFmtId="167" fontId="7" fillId="5" borderId="0" xfId="0" applyNumberFormat="1" applyFont="1" applyFill="1"/>
    <xf numFmtId="0" fontId="7" fillId="5" borderId="0" xfId="0" applyFont="1" applyFill="1"/>
    <xf numFmtId="164" fontId="7" fillId="5" borderId="0" xfId="1" applyFont="1" applyFill="1"/>
    <xf numFmtId="164" fontId="14" fillId="5" borderId="0" xfId="1" applyFont="1" applyFill="1"/>
    <xf numFmtId="0" fontId="7" fillId="5" borderId="10" xfId="0" applyFont="1" applyFill="1" applyBorder="1"/>
    <xf numFmtId="0" fontId="7" fillId="5" borderId="11" xfId="0" applyFont="1" applyFill="1" applyBorder="1"/>
    <xf numFmtId="0" fontId="3" fillId="5" borderId="0" xfId="3" applyFont="1" applyFill="1"/>
    <xf numFmtId="43" fontId="7" fillId="5" borderId="0" xfId="0" applyNumberFormat="1" applyFont="1" applyFill="1"/>
    <xf numFmtId="164" fontId="7" fillId="5" borderId="13" xfId="1" applyFont="1" applyFill="1" applyBorder="1"/>
    <xf numFmtId="164" fontId="7" fillId="5" borderId="12" xfId="1" applyFont="1" applyFill="1" applyBorder="1"/>
    <xf numFmtId="164" fontId="7" fillId="5" borderId="14" xfId="1" applyFont="1" applyFill="1" applyBorder="1"/>
    <xf numFmtId="0" fontId="9" fillId="5" borderId="0" xfId="3" applyFill="1"/>
    <xf numFmtId="165" fontId="7" fillId="5" borderId="0" xfId="0" applyNumberFormat="1" applyFont="1" applyFill="1"/>
    <xf numFmtId="165" fontId="7" fillId="5" borderId="10" xfId="0" applyNumberFormat="1" applyFont="1" applyFill="1" applyBorder="1"/>
    <xf numFmtId="166" fontId="7" fillId="5" borderId="0" xfId="0" applyNumberFormat="1" applyFont="1" applyFill="1"/>
    <xf numFmtId="0" fontId="16" fillId="5" borderId="0" xfId="5" applyFont="1" applyFill="1" applyAlignment="1">
      <alignment horizontal="left"/>
    </xf>
    <xf numFmtId="43" fontId="14" fillId="5" borderId="0" xfId="0" applyNumberFormat="1" applyFont="1" applyFill="1"/>
    <xf numFmtId="164" fontId="7" fillId="5" borderId="10" xfId="1" applyFont="1" applyFill="1" applyBorder="1"/>
    <xf numFmtId="164" fontId="3" fillId="5" borderId="4" xfId="1" applyFont="1" applyFill="1" applyBorder="1"/>
    <xf numFmtId="164" fontId="2" fillId="5" borderId="0" xfId="1" applyFill="1"/>
    <xf numFmtId="9" fontId="3" fillId="5" borderId="0" xfId="2" applyFont="1" applyFill="1"/>
    <xf numFmtId="10" fontId="3" fillId="5" borderId="0" xfId="2" applyNumberFormat="1" applyFont="1" applyFill="1"/>
    <xf numFmtId="164" fontId="6" fillId="5" borderId="0" xfId="1" applyFont="1" applyFill="1"/>
    <xf numFmtId="165" fontId="6" fillId="5" borderId="0" xfId="0" applyNumberFormat="1" applyFont="1" applyFill="1"/>
    <xf numFmtId="0" fontId="6" fillId="5" borderId="4" xfId="0" applyFont="1" applyFill="1" applyBorder="1"/>
    <xf numFmtId="0" fontId="6" fillId="5" borderId="0" xfId="0" applyFont="1" applyFill="1"/>
    <xf numFmtId="0" fontId="0" fillId="5" borderId="0" xfId="0" applyFill="1"/>
    <xf numFmtId="9" fontId="0" fillId="5" borderId="0" xfId="2" applyFont="1" applyFill="1"/>
    <xf numFmtId="166" fontId="10" fillId="5" borderId="0" xfId="0" applyNumberFormat="1" applyFont="1" applyFill="1"/>
  </cellXfs>
  <cellStyles count="72">
    <cellStyle name="20% - Accent1" xfId="25" builtinId="30" customBuiltin="1"/>
    <cellStyle name="20% - Accent1 2" xfId="51" xr:uid="{B03B5283-96B2-4102-B636-9F3959966C51}"/>
    <cellStyle name="20% - Accent2" xfId="29" builtinId="34" customBuiltin="1"/>
    <cellStyle name="20% - Accent2 2" xfId="54" xr:uid="{320E34B7-8832-480C-83BF-1F926A8E959F}"/>
    <cellStyle name="20% - Accent3" xfId="33" builtinId="38" customBuiltin="1"/>
    <cellStyle name="20% - Accent3 2" xfId="57" xr:uid="{C32A8612-2684-4624-BA80-A6B478C9AEBD}"/>
    <cellStyle name="20% - Accent4" xfId="37" builtinId="42" customBuiltin="1"/>
    <cellStyle name="20% - Accent4 2" xfId="60" xr:uid="{58FDF874-F536-420E-B514-FAA1A111BAE1}"/>
    <cellStyle name="20% - Accent5" xfId="41" builtinId="46" customBuiltin="1"/>
    <cellStyle name="20% - Accent5 2" xfId="63" xr:uid="{5C473F9F-D19E-484A-AAAC-6FB1211B47F1}"/>
    <cellStyle name="20% - Accent6" xfId="45" builtinId="50" customBuiltin="1"/>
    <cellStyle name="20% - Accent6 2" xfId="66" xr:uid="{027B2E93-0DBE-40FC-9570-642631781A93}"/>
    <cellStyle name="40% - Accent1" xfId="26" builtinId="31" customBuiltin="1"/>
    <cellStyle name="40% - Accent1 2" xfId="52" xr:uid="{F8ABCEEA-F7E3-4435-8D30-62F8CC3122D0}"/>
    <cellStyle name="40% - Accent2" xfId="30" builtinId="35" customBuiltin="1"/>
    <cellStyle name="40% - Accent2 2" xfId="55" xr:uid="{6A2FF93D-D208-4C41-8BBF-FE3F013B6432}"/>
    <cellStyle name="40% - Accent3" xfId="34" builtinId="39" customBuiltin="1"/>
    <cellStyle name="40% - Accent3 2" xfId="58" xr:uid="{3568CADD-F383-4885-A759-82D84AED7E16}"/>
    <cellStyle name="40% - Accent4" xfId="38" builtinId="43" customBuiltin="1"/>
    <cellStyle name="40% - Accent4 2" xfId="61" xr:uid="{E93160B9-3E4B-48AA-BE25-3639D91D783C}"/>
    <cellStyle name="40% - Accent5" xfId="42" builtinId="47" customBuiltin="1"/>
    <cellStyle name="40% - Accent5 2" xfId="64" xr:uid="{A36535B2-94C8-4D7F-AC91-3AF2B7488CF0}"/>
    <cellStyle name="40% - Accent6" xfId="46" builtinId="51" customBuiltin="1"/>
    <cellStyle name="40% - Accent6 2" xfId="67" xr:uid="{3A877E23-74D1-4D95-B1A3-0EEE29DC3E71}"/>
    <cellStyle name="60% - Accent1" xfId="27" builtinId="32" customBuiltin="1"/>
    <cellStyle name="60% - Accent1 2" xfId="53" xr:uid="{DF15566F-1DA4-4343-91F6-CE4B3CED6C0F}"/>
    <cellStyle name="60% - Accent2" xfId="31" builtinId="36" customBuiltin="1"/>
    <cellStyle name="60% - Accent2 2" xfId="56" xr:uid="{F1743E1D-2D27-4E94-B2E3-1AF4C68273C7}"/>
    <cellStyle name="60% - Accent3" xfId="35" builtinId="40" customBuiltin="1"/>
    <cellStyle name="60% - Accent3 2" xfId="59" xr:uid="{F29D9AE0-3475-48DC-A225-D04CF8305898}"/>
    <cellStyle name="60% - Accent4" xfId="39" builtinId="44" customBuiltin="1"/>
    <cellStyle name="60% - Accent4 2" xfId="62" xr:uid="{A336819A-FF6C-4E8D-A71D-E235C86F7466}"/>
    <cellStyle name="60% - Accent5" xfId="43" builtinId="48" customBuiltin="1"/>
    <cellStyle name="60% - Accent5 2" xfId="65" xr:uid="{6A7FDF2B-6E92-4012-BF6E-CC423AF2904A}"/>
    <cellStyle name="60% - Accent6" xfId="47" builtinId="52" customBuiltin="1"/>
    <cellStyle name="60% - Accent6 2" xfId="68" xr:uid="{9D926079-4E6D-4A51-B7C6-522D94AA3AF2}"/>
    <cellStyle name="Accent1" xfId="24" builtinId="29" customBuiltin="1"/>
    <cellStyle name="Accent2" xfId="28" builtinId="33" customBuiltin="1"/>
    <cellStyle name="Accent3" xfId="32" builtinId="37" customBuiltin="1"/>
    <cellStyle name="Accent4" xfId="36" builtinId="41" customBuiltin="1"/>
    <cellStyle name="Accent5" xfId="40" builtinId="45" customBuiltin="1"/>
    <cellStyle name="Accent6" xfId="44" builtinId="49" customBuiltin="1"/>
    <cellStyle name="Bad" xfId="14" builtinId="27" customBuiltin="1"/>
    <cellStyle name="Calculation" xfId="18" builtinId="22" customBuiltin="1"/>
    <cellStyle name="Check Cell" xfId="20" builtinId="23" customBuiltin="1"/>
    <cellStyle name="Comma" xfId="1" builtinId="3"/>
    <cellStyle name="Comma 2" xfId="4" xr:uid="{FF8D93E5-83D1-4145-9840-F1F9C26FA3CB}"/>
    <cellStyle name="Currency" xfId="70" builtinId="4"/>
    <cellStyle name="Explanatory Text" xfId="22" builtinId="53" customBuiltin="1"/>
    <cellStyle name="Good" xfId="13" builtinId="26" customBuiltin="1"/>
    <cellStyle name="Heading 1" xfId="9" builtinId="16" customBuiltin="1"/>
    <cellStyle name="Heading 2" xfId="10" builtinId="17" customBuiltin="1"/>
    <cellStyle name="Heading 3" xfId="11" builtinId="18" customBuiltin="1"/>
    <cellStyle name="Heading 4" xfId="12" builtinId="19" customBuiltin="1"/>
    <cellStyle name="Hyperlink 2" xfId="69" xr:uid="{53EFEDF8-E1EC-44B9-B5A3-1D1150351C04}"/>
    <cellStyle name="Input" xfId="16" builtinId="20" customBuiltin="1"/>
    <cellStyle name="Linked Cell" xfId="19" builtinId="24" customBuiltin="1"/>
    <cellStyle name="Neutral" xfId="15" builtinId="28" customBuiltin="1"/>
    <cellStyle name="Normal" xfId="0" builtinId="0"/>
    <cellStyle name="Normal 11" xfId="6" xr:uid="{480A0066-41F7-4A9A-A965-C07B2430901C}"/>
    <cellStyle name="Normal 13" xfId="5" xr:uid="{622E241D-E006-6145-BC72-A0DB5D515727}"/>
    <cellStyle name="Normal 2" xfId="3" xr:uid="{3A2A3EF9-B8F3-2544-BC48-7EAB02A36178}"/>
    <cellStyle name="Normal 3" xfId="7" xr:uid="{14D49719-21FB-439B-BEBC-62FAAC729A9E}"/>
    <cellStyle name="Normal 4" xfId="48" xr:uid="{B1014B15-DB0F-4C33-89FB-3E072670EAB4}"/>
    <cellStyle name="Note 2" xfId="50" xr:uid="{BCBDE746-F896-499A-825D-26F3864B3A2C}"/>
    <cellStyle name="Note 3" xfId="49" xr:uid="{E42D991E-7A70-409B-AF0E-C503A3423202}"/>
    <cellStyle name="Output" xfId="17" builtinId="21" customBuiltin="1"/>
    <cellStyle name="Percent" xfId="2" builtinId="5"/>
    <cellStyle name="Percent 2" xfId="71" xr:uid="{5937F4B9-B89A-4CE8-96E9-D5251612434D}"/>
    <cellStyle name="Title" xfId="8" builtinId="15" customBuiltin="1"/>
    <cellStyle name="Total" xfId="23" builtinId="25" customBuiltin="1"/>
    <cellStyle name="Warning Text" xfId="2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235565</xdr:colOff>
      <xdr:row>0</xdr:row>
      <xdr:rowOff>70822</xdr:rowOff>
    </xdr:from>
    <xdr:to>
      <xdr:col>7</xdr:col>
      <xdr:colOff>1017408</xdr:colOff>
      <xdr:row>3</xdr:row>
      <xdr:rowOff>96222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CA099B-4036-114D-B419-7CB0AA82C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00" y="70822"/>
          <a:ext cx="781843" cy="609190"/>
        </a:xfrm>
        <a:prstGeom prst="rect">
          <a:avLst/>
        </a:prstGeom>
      </xdr:spPr>
    </xdr:pic>
    <xdr:clientData/>
  </xdr:twoCellAnchor>
  <xdr:oneCellAnchor>
    <xdr:from>
      <xdr:col>38</xdr:col>
      <xdr:colOff>804860</xdr:colOff>
      <xdr:row>29</xdr:row>
      <xdr:rowOff>119062</xdr:rowOff>
    </xdr:from>
    <xdr:ext cx="6276976" cy="244047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657176C-EC02-497E-AB1D-C4AFF713D02C}"/>
            </a:ext>
          </a:extLst>
        </xdr:cNvPr>
        <xdr:cNvSpPr txBox="1"/>
      </xdr:nvSpPr>
      <xdr:spPr>
        <a:xfrm rot="19606130">
          <a:off x="12615860" y="4524375"/>
          <a:ext cx="6276976" cy="24404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5000">
              <a:ln>
                <a:solidFill>
                  <a:srgbClr val="FF0000"/>
                </a:solidFill>
              </a:ln>
              <a:noFill/>
              <a:effectLst>
                <a:reflection endPos="0" dir="5400000" sy="-100000" algn="bl" rotWithShape="0"/>
              </a:effectLst>
            </a:rPr>
            <a:t>DRAFT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s\Library\Containers\com.apple.mail\Data\Library\Mail%20Downloads\120E7679-3884-4DAE-A052-53C937A00D43\P5%202019%20Monthly%20Management%20Accoun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J:\Finance\Budget%20Workpapers\BUDGET%202025\Catering\Consolidated%20CATERING%20SUMMARY%202024.xlsx" TargetMode="External"/><Relationship Id="rId1" Type="http://schemas.openxmlformats.org/officeDocument/2006/relationships/externalLinkPath" Target="Catering/Consolidated%20CATERING%20SUMMARY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5 Actual"/>
      <sheetName val="P5 Budget"/>
      <sheetName val="P5 PY"/>
      <sheetName val="YTD "/>
      <sheetName val="YTD Budget"/>
      <sheetName val="YTD PY"/>
      <sheetName val="Tav"/>
      <sheetName val="CF"/>
      <sheetName val="BS"/>
      <sheetName val="NS 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UMMARY"/>
      <sheetName val="Catering Admin Allocation"/>
      <sheetName val="Summary JS new"/>
      <sheetName val="BUSINESS SCHOOL"/>
      <sheetName val="CATALYST"/>
      <sheetName val="DENTISTRY"/>
      <sheetName val="NEDLANDS"/>
      <sheetName val="FUNCTIONS"/>
      <sheetName val="HACKETT"/>
      <sheetName val="KITCHEN"/>
      <sheetName val="QUOBBA"/>
      <sheetName val=" CATERING ADMIN"/>
      <sheetName val="TAVERN"/>
      <sheetName val="CAT ADMIN"/>
    </sheetNames>
    <sheetDataSet>
      <sheetData sheetId="0"/>
      <sheetData sheetId="1">
        <row r="8">
          <cell r="I8">
            <v>0</v>
          </cell>
        </row>
        <row r="9">
          <cell r="I9">
            <v>0</v>
          </cell>
        </row>
        <row r="10">
          <cell r="I10">
            <v>0</v>
          </cell>
        </row>
        <row r="11">
          <cell r="I11">
            <v>-128716.80682671457</v>
          </cell>
        </row>
        <row r="12">
          <cell r="I12">
            <v>0</v>
          </cell>
        </row>
        <row r="13">
          <cell r="I13">
            <v>0</v>
          </cell>
        </row>
        <row r="16">
          <cell r="I16">
            <v>-186806.68650781392</v>
          </cell>
        </row>
        <row r="17">
          <cell r="I17">
            <v>-38866.657950744127</v>
          </cell>
        </row>
      </sheetData>
      <sheetData sheetId="2"/>
      <sheetData sheetId="3">
        <row r="1">
          <cell r="A1" t="str">
            <v>Guild of Undergraduates</v>
          </cell>
        </row>
        <row r="2">
          <cell r="A2" t="str">
            <v>Budget</v>
          </cell>
        </row>
        <row r="3">
          <cell r="A3" t="str">
            <v>Business School Café</v>
          </cell>
        </row>
        <row r="4">
          <cell r="A4" t="str">
            <v/>
          </cell>
        </row>
        <row r="5">
          <cell r="A5" t="str">
            <v>Financial Row</v>
          </cell>
          <cell r="B5">
            <v>45658</v>
          </cell>
          <cell r="C5">
            <v>45689</v>
          </cell>
          <cell r="D5">
            <v>45717</v>
          </cell>
          <cell r="E5">
            <v>45748</v>
          </cell>
          <cell r="F5">
            <v>45778</v>
          </cell>
          <cell r="G5">
            <v>45809</v>
          </cell>
          <cell r="H5">
            <v>45839</v>
          </cell>
          <cell r="I5">
            <v>45870</v>
          </cell>
          <cell r="J5">
            <v>45901</v>
          </cell>
          <cell r="K5">
            <v>45931</v>
          </cell>
          <cell r="L5">
            <v>45962</v>
          </cell>
          <cell r="M5">
            <v>45992</v>
          </cell>
          <cell r="N5" t="str">
            <v>Total</v>
          </cell>
        </row>
        <row r="6">
          <cell r="A6" t="str">
            <v>Income</v>
          </cell>
        </row>
        <row r="7">
          <cell r="A7" t="str">
            <v>SALES OF GOODS - SALES OF GOODS</v>
          </cell>
        </row>
        <row r="8">
          <cell r="A8" t="str">
            <v>101001 - Sales - Catering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101005 - Sales - End of Day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101050 - Under/Overs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Total - SALES OF GOODS - SALES OF GOODS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SALES CATERING DISCOUNT - SALES CATERING DISCOUNT</v>
          </cell>
        </row>
        <row r="13">
          <cell r="A13" t="str">
            <v>102000 - Guild Member Discount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102003 - Other Promotional Discounts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A15" t="str">
            <v>Total - SALES CATERING DISCOUNT - SALES CATERING DISCOUNT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 t="str">
            <v>2023 actual: $276 586</v>
          </cell>
        </row>
        <row r="16">
          <cell r="A16" t="str">
            <v>Total - Income</v>
          </cell>
          <cell r="B16">
            <v>9520</v>
          </cell>
          <cell r="C16">
            <v>15760</v>
          </cell>
          <cell r="D16">
            <v>37950</v>
          </cell>
          <cell r="E16">
            <v>31950</v>
          </cell>
          <cell r="F16">
            <v>35550</v>
          </cell>
          <cell r="G16">
            <v>12700</v>
          </cell>
          <cell r="H16">
            <v>22700</v>
          </cell>
          <cell r="I16">
            <v>43820</v>
          </cell>
          <cell r="J16">
            <v>32300</v>
          </cell>
          <cell r="K16">
            <v>32000</v>
          </cell>
          <cell r="L16">
            <v>10780</v>
          </cell>
          <cell r="M16">
            <v>6030</v>
          </cell>
          <cell r="N16">
            <v>291060</v>
          </cell>
          <cell r="O16" t="str">
            <v>2024 actual Jan - Sept $239 569</v>
          </cell>
        </row>
        <row r="17">
          <cell r="A17" t="str">
            <v>Cost Of Sales</v>
          </cell>
          <cell r="B17">
            <v>0.39</v>
          </cell>
          <cell r="C17">
            <v>0.39</v>
          </cell>
          <cell r="D17">
            <v>0.39</v>
          </cell>
          <cell r="E17">
            <v>0.39</v>
          </cell>
          <cell r="F17">
            <v>0.39</v>
          </cell>
          <cell r="G17">
            <v>0.39</v>
          </cell>
          <cell r="H17">
            <v>0.39</v>
          </cell>
          <cell r="I17">
            <v>0.39</v>
          </cell>
          <cell r="J17">
            <v>0.39</v>
          </cell>
          <cell r="K17">
            <v>0.39</v>
          </cell>
          <cell r="L17">
            <v>0.39</v>
          </cell>
          <cell r="M17">
            <v>0.39</v>
          </cell>
          <cell r="N17">
            <v>0.39</v>
          </cell>
          <cell r="O17" t="str">
            <v>are we including or excluding wages in MK transfers?</v>
          </cell>
        </row>
        <row r="18">
          <cell r="A18" t="str">
            <v>201070 - Cost of Goods Sold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201075 - FREIGHT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201600 - Inter Department Transfers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Total - Cost Of Sales</v>
          </cell>
          <cell r="B21">
            <v>3712.8</v>
          </cell>
          <cell r="C21">
            <v>6146.4000000000005</v>
          </cell>
          <cell r="D21">
            <v>14800.5</v>
          </cell>
          <cell r="E21">
            <v>12460.5</v>
          </cell>
          <cell r="F21">
            <v>13864.5</v>
          </cell>
          <cell r="G21">
            <v>4953</v>
          </cell>
          <cell r="H21">
            <v>8853</v>
          </cell>
          <cell r="I21">
            <v>17089.8</v>
          </cell>
          <cell r="J21">
            <v>12597</v>
          </cell>
          <cell r="K21">
            <v>12480</v>
          </cell>
          <cell r="L21">
            <v>4204.2</v>
          </cell>
          <cell r="M21">
            <v>2351.7000000000003</v>
          </cell>
          <cell r="N21">
            <v>113513.4</v>
          </cell>
        </row>
        <row r="22">
          <cell r="A22" t="str">
            <v>Gross Profit</v>
          </cell>
          <cell r="B22">
            <v>5807.2</v>
          </cell>
          <cell r="C22">
            <v>9613.5999999999985</v>
          </cell>
          <cell r="D22">
            <v>23149.5</v>
          </cell>
          <cell r="E22">
            <v>19489.5</v>
          </cell>
          <cell r="F22">
            <v>21685.5</v>
          </cell>
          <cell r="G22">
            <v>7747</v>
          </cell>
          <cell r="H22">
            <v>13847</v>
          </cell>
          <cell r="I22">
            <v>26730.2</v>
          </cell>
          <cell r="J22">
            <v>19703</v>
          </cell>
          <cell r="K22">
            <v>19520</v>
          </cell>
          <cell r="L22">
            <v>6575.8</v>
          </cell>
          <cell r="M22">
            <v>3678.2999999999997</v>
          </cell>
          <cell r="N22">
            <v>177546.6</v>
          </cell>
        </row>
        <row r="23">
          <cell r="A23" t="str">
            <v>Expenses</v>
          </cell>
        </row>
        <row r="24">
          <cell r="A24" t="str">
            <v>ADMINISTRATIVE EXPENSES - ADMINISTRATIVE EXPENSES</v>
          </cell>
        </row>
        <row r="25">
          <cell r="A25" t="str">
            <v>305083 - Advertising &amp; Promotion</v>
          </cell>
          <cell r="B25">
            <v>15</v>
          </cell>
          <cell r="C25">
            <v>15</v>
          </cell>
          <cell r="D25">
            <v>15</v>
          </cell>
          <cell r="E25">
            <v>15</v>
          </cell>
          <cell r="F25">
            <v>15</v>
          </cell>
          <cell r="G25">
            <v>15</v>
          </cell>
          <cell r="H25">
            <v>15</v>
          </cell>
          <cell r="I25">
            <v>15</v>
          </cell>
          <cell r="J25">
            <v>15</v>
          </cell>
          <cell r="K25">
            <v>15</v>
          </cell>
          <cell r="L25">
            <v>15</v>
          </cell>
          <cell r="M25">
            <v>15</v>
          </cell>
          <cell r="N25">
            <v>180</v>
          </cell>
        </row>
        <row r="26">
          <cell r="A26" t="str">
            <v>305108 - Cleaning Contract</v>
          </cell>
          <cell r="B26">
            <v>230</v>
          </cell>
          <cell r="C26">
            <v>230</v>
          </cell>
          <cell r="D26">
            <v>230</v>
          </cell>
          <cell r="E26">
            <v>230</v>
          </cell>
          <cell r="F26">
            <v>230</v>
          </cell>
          <cell r="G26">
            <v>230</v>
          </cell>
          <cell r="H26">
            <v>230</v>
          </cell>
          <cell r="I26">
            <v>230</v>
          </cell>
          <cell r="J26">
            <v>230</v>
          </cell>
          <cell r="K26">
            <v>230</v>
          </cell>
          <cell r="L26">
            <v>230</v>
          </cell>
          <cell r="M26">
            <v>230</v>
          </cell>
          <cell r="N26">
            <v>2760</v>
          </cell>
          <cell r="O26" t="str">
            <v>Dunbar $870/ Xsential $800?/ Jaymak $545 x2</v>
          </cell>
        </row>
        <row r="27">
          <cell r="A27" t="str">
            <v>305109 - Cleaning Consumables</v>
          </cell>
          <cell r="B27">
            <v>70</v>
          </cell>
          <cell r="C27">
            <v>70</v>
          </cell>
          <cell r="D27">
            <v>70</v>
          </cell>
          <cell r="E27">
            <v>70</v>
          </cell>
          <cell r="F27">
            <v>70</v>
          </cell>
          <cell r="G27">
            <v>70</v>
          </cell>
          <cell r="H27">
            <v>70</v>
          </cell>
          <cell r="I27">
            <v>70</v>
          </cell>
          <cell r="J27">
            <v>70</v>
          </cell>
          <cell r="K27">
            <v>70</v>
          </cell>
          <cell r="L27">
            <v>70</v>
          </cell>
          <cell r="M27">
            <v>70</v>
          </cell>
          <cell r="N27">
            <v>840</v>
          </cell>
        </row>
        <row r="28">
          <cell r="A28" t="str">
            <v>305111 - Communication Expenses</v>
          </cell>
          <cell r="B28">
            <v>20</v>
          </cell>
          <cell r="C28">
            <v>20</v>
          </cell>
          <cell r="D28">
            <v>20</v>
          </cell>
          <cell r="E28">
            <v>20</v>
          </cell>
          <cell r="F28">
            <v>20</v>
          </cell>
          <cell r="G28">
            <v>20</v>
          </cell>
          <cell r="H28">
            <v>20</v>
          </cell>
          <cell r="I28">
            <v>20</v>
          </cell>
          <cell r="J28">
            <v>20</v>
          </cell>
          <cell r="K28">
            <v>20</v>
          </cell>
          <cell r="L28">
            <v>20</v>
          </cell>
          <cell r="M28">
            <v>20</v>
          </cell>
          <cell r="N28">
            <v>240</v>
          </cell>
          <cell r="O28" t="str">
            <v>Mutya</v>
          </cell>
        </row>
        <row r="29">
          <cell r="A29" t="str">
            <v>305112 - Paper Products &amp; Packaging</v>
          </cell>
          <cell r="B29">
            <v>465</v>
          </cell>
          <cell r="C29">
            <v>465</v>
          </cell>
          <cell r="D29">
            <v>465</v>
          </cell>
          <cell r="E29">
            <v>465</v>
          </cell>
          <cell r="F29">
            <v>465</v>
          </cell>
          <cell r="G29">
            <v>465</v>
          </cell>
          <cell r="H29">
            <v>465</v>
          </cell>
          <cell r="I29">
            <v>465</v>
          </cell>
          <cell r="J29">
            <v>465</v>
          </cell>
          <cell r="K29">
            <v>465</v>
          </cell>
          <cell r="L29">
            <v>465</v>
          </cell>
          <cell r="M29">
            <v>465</v>
          </cell>
          <cell r="N29">
            <v>5580</v>
          </cell>
        </row>
        <row r="30">
          <cell r="A30" t="str">
            <v>305114 - Computer Expenses</v>
          </cell>
          <cell r="B30">
            <v>1000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1000</v>
          </cell>
          <cell r="O30" t="str">
            <v>Mutya</v>
          </cell>
        </row>
        <row r="31">
          <cell r="A31" t="str">
            <v>305132 - Utilities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 t="str">
            <v>Mutya</v>
          </cell>
        </row>
        <row r="32">
          <cell r="A32" t="str">
            <v>305147 - General Expenses</v>
          </cell>
          <cell r="B32">
            <v>30</v>
          </cell>
          <cell r="C32">
            <v>30</v>
          </cell>
          <cell r="D32">
            <v>30</v>
          </cell>
          <cell r="E32">
            <v>30</v>
          </cell>
          <cell r="F32">
            <v>30</v>
          </cell>
          <cell r="G32">
            <v>30</v>
          </cell>
          <cell r="H32">
            <v>30</v>
          </cell>
          <cell r="I32">
            <v>30</v>
          </cell>
          <cell r="J32">
            <v>30</v>
          </cell>
          <cell r="K32">
            <v>30</v>
          </cell>
          <cell r="L32">
            <v>30</v>
          </cell>
          <cell r="M32">
            <v>30</v>
          </cell>
          <cell r="N32">
            <v>360</v>
          </cell>
          <cell r="O32" t="str">
            <v>LY $300/ YTD $270</v>
          </cell>
        </row>
        <row r="33">
          <cell r="A33" t="str">
            <v>305156 - Laundry</v>
          </cell>
          <cell r="B33">
            <v>50</v>
          </cell>
          <cell r="C33">
            <v>50</v>
          </cell>
          <cell r="D33">
            <v>50</v>
          </cell>
          <cell r="E33">
            <v>50</v>
          </cell>
          <cell r="F33">
            <v>50</v>
          </cell>
          <cell r="G33">
            <v>50</v>
          </cell>
          <cell r="H33">
            <v>50</v>
          </cell>
          <cell r="I33">
            <v>50</v>
          </cell>
          <cell r="J33">
            <v>50</v>
          </cell>
          <cell r="K33">
            <v>50</v>
          </cell>
          <cell r="L33">
            <v>50</v>
          </cell>
          <cell r="M33">
            <v>50</v>
          </cell>
          <cell r="N33">
            <v>600</v>
          </cell>
        </row>
        <row r="34">
          <cell r="A34" t="str">
            <v>305162 - Licence &amp; Permits</v>
          </cell>
          <cell r="B34">
            <v>44</v>
          </cell>
          <cell r="C34">
            <v>44</v>
          </cell>
          <cell r="D34">
            <v>44</v>
          </cell>
          <cell r="E34">
            <v>44</v>
          </cell>
          <cell r="F34">
            <v>44</v>
          </cell>
          <cell r="G34">
            <v>44</v>
          </cell>
          <cell r="H34">
            <v>44</v>
          </cell>
          <cell r="I34">
            <v>44</v>
          </cell>
          <cell r="J34">
            <v>44</v>
          </cell>
          <cell r="K34">
            <v>44</v>
          </cell>
          <cell r="L34">
            <v>44</v>
          </cell>
          <cell r="M34">
            <v>44</v>
          </cell>
          <cell r="N34">
            <v>528</v>
          </cell>
          <cell r="O34" t="str">
            <v>City of Perth $260 x 2 = $520</v>
          </cell>
        </row>
        <row r="35">
          <cell r="A35" t="str">
            <v>305168 - Occupational  Health &amp; Safety</v>
          </cell>
          <cell r="B35">
            <v>14</v>
          </cell>
          <cell r="C35">
            <v>14</v>
          </cell>
          <cell r="D35">
            <v>14</v>
          </cell>
          <cell r="E35">
            <v>14</v>
          </cell>
          <cell r="F35">
            <v>14</v>
          </cell>
          <cell r="G35">
            <v>14</v>
          </cell>
          <cell r="H35">
            <v>14</v>
          </cell>
          <cell r="I35">
            <v>14</v>
          </cell>
          <cell r="J35">
            <v>14</v>
          </cell>
          <cell r="K35">
            <v>14</v>
          </cell>
          <cell r="L35">
            <v>14</v>
          </cell>
          <cell r="M35">
            <v>14</v>
          </cell>
          <cell r="N35">
            <v>168</v>
          </cell>
          <cell r="O35" t="str">
            <v>First Aid Kit $81 x2</v>
          </cell>
        </row>
        <row r="36">
          <cell r="A36" t="str">
            <v>305180 - Printing &amp; Stationery</v>
          </cell>
          <cell r="B36">
            <v>25</v>
          </cell>
          <cell r="C36">
            <v>25</v>
          </cell>
          <cell r="D36">
            <v>25</v>
          </cell>
          <cell r="E36">
            <v>25</v>
          </cell>
          <cell r="F36">
            <v>25</v>
          </cell>
          <cell r="G36">
            <v>25</v>
          </cell>
          <cell r="H36">
            <v>25</v>
          </cell>
          <cell r="I36">
            <v>25</v>
          </cell>
          <cell r="J36">
            <v>25</v>
          </cell>
          <cell r="K36">
            <v>25</v>
          </cell>
          <cell r="L36">
            <v>25</v>
          </cell>
          <cell r="M36">
            <v>25</v>
          </cell>
          <cell r="N36">
            <v>300</v>
          </cell>
        </row>
        <row r="37">
          <cell r="A37" t="str">
            <v>305185 - Minor Assets</v>
          </cell>
          <cell r="B37">
            <v>20</v>
          </cell>
          <cell r="C37">
            <v>20</v>
          </cell>
          <cell r="D37">
            <v>20</v>
          </cell>
          <cell r="E37">
            <v>20</v>
          </cell>
          <cell r="F37">
            <v>20</v>
          </cell>
          <cell r="G37">
            <v>20</v>
          </cell>
          <cell r="H37">
            <v>20</v>
          </cell>
          <cell r="I37">
            <v>20</v>
          </cell>
          <cell r="J37">
            <v>20</v>
          </cell>
          <cell r="K37">
            <v>20</v>
          </cell>
          <cell r="L37">
            <v>20</v>
          </cell>
          <cell r="M37">
            <v>20</v>
          </cell>
          <cell r="N37">
            <v>240</v>
          </cell>
        </row>
        <row r="38">
          <cell r="A38" t="str">
            <v>305187 - Software Digital</v>
          </cell>
          <cell r="B38">
            <v>200</v>
          </cell>
          <cell r="C38">
            <v>200</v>
          </cell>
          <cell r="D38">
            <v>200</v>
          </cell>
          <cell r="E38">
            <v>200</v>
          </cell>
          <cell r="F38">
            <v>200</v>
          </cell>
          <cell r="G38">
            <v>200</v>
          </cell>
          <cell r="H38">
            <v>200</v>
          </cell>
          <cell r="I38">
            <v>200</v>
          </cell>
          <cell r="J38">
            <v>200</v>
          </cell>
          <cell r="K38">
            <v>200</v>
          </cell>
          <cell r="L38">
            <v>200</v>
          </cell>
          <cell r="M38">
            <v>200</v>
          </cell>
          <cell r="N38">
            <v>2400</v>
          </cell>
          <cell r="O38" t="str">
            <v>Mutya</v>
          </cell>
        </row>
        <row r="39">
          <cell r="A39" t="str">
            <v>305189 - Repairs &amp; Maintenance</v>
          </cell>
          <cell r="B39">
            <v>155</v>
          </cell>
          <cell r="C39">
            <v>155</v>
          </cell>
          <cell r="D39">
            <v>155</v>
          </cell>
          <cell r="E39">
            <v>155</v>
          </cell>
          <cell r="F39">
            <v>155</v>
          </cell>
          <cell r="G39">
            <v>155</v>
          </cell>
          <cell r="H39">
            <v>155</v>
          </cell>
          <cell r="I39">
            <v>155</v>
          </cell>
          <cell r="J39">
            <v>155</v>
          </cell>
          <cell r="K39">
            <v>155</v>
          </cell>
          <cell r="L39">
            <v>155</v>
          </cell>
          <cell r="M39">
            <v>155</v>
          </cell>
          <cell r="N39">
            <v>1860</v>
          </cell>
        </row>
        <row r="40">
          <cell r="A40" t="str">
            <v>305197 - Replacement of Glass/Cutlery</v>
          </cell>
          <cell r="B40">
            <v>10</v>
          </cell>
          <cell r="C40">
            <v>10</v>
          </cell>
          <cell r="D40">
            <v>10</v>
          </cell>
          <cell r="E40">
            <v>10</v>
          </cell>
          <cell r="F40">
            <v>10</v>
          </cell>
          <cell r="G40">
            <v>10</v>
          </cell>
          <cell r="H40">
            <v>10</v>
          </cell>
          <cell r="I40">
            <v>10</v>
          </cell>
          <cell r="J40">
            <v>10</v>
          </cell>
          <cell r="K40">
            <v>10</v>
          </cell>
          <cell r="L40">
            <v>10</v>
          </cell>
          <cell r="M40">
            <v>10</v>
          </cell>
          <cell r="N40">
            <v>120</v>
          </cell>
        </row>
        <row r="41">
          <cell r="A41" t="str">
            <v>305225 - Uniforms</v>
          </cell>
          <cell r="B41">
            <v>15</v>
          </cell>
          <cell r="C41">
            <v>15</v>
          </cell>
          <cell r="D41">
            <v>15</v>
          </cell>
          <cell r="E41">
            <v>15</v>
          </cell>
          <cell r="F41">
            <v>15</v>
          </cell>
          <cell r="G41">
            <v>15</v>
          </cell>
          <cell r="H41">
            <v>15</v>
          </cell>
          <cell r="I41">
            <v>15</v>
          </cell>
          <cell r="J41">
            <v>15</v>
          </cell>
          <cell r="K41">
            <v>15</v>
          </cell>
          <cell r="L41">
            <v>15</v>
          </cell>
          <cell r="M41">
            <v>15</v>
          </cell>
          <cell r="N41">
            <v>180</v>
          </cell>
        </row>
        <row r="42">
          <cell r="A42" t="str">
            <v>305228 - Waste Control</v>
          </cell>
          <cell r="B42">
            <v>900</v>
          </cell>
          <cell r="C42">
            <v>300</v>
          </cell>
          <cell r="D42">
            <v>900</v>
          </cell>
          <cell r="E42">
            <v>320</v>
          </cell>
          <cell r="F42">
            <v>320</v>
          </cell>
          <cell r="G42">
            <v>900</v>
          </cell>
          <cell r="H42">
            <v>350</v>
          </cell>
          <cell r="I42">
            <v>350</v>
          </cell>
          <cell r="J42">
            <v>300</v>
          </cell>
          <cell r="K42">
            <v>300</v>
          </cell>
          <cell r="L42">
            <v>900</v>
          </cell>
          <cell r="M42">
            <v>300</v>
          </cell>
          <cell r="N42">
            <v>6140</v>
          </cell>
          <cell r="O42" t="str">
            <v>Cleanaway</v>
          </cell>
        </row>
        <row r="43">
          <cell r="A43" t="str">
            <v>306003 - Depreciation - Furniture &amp; Fittings</v>
          </cell>
          <cell r="B43">
            <v>60.67</v>
          </cell>
          <cell r="C43">
            <v>60.67</v>
          </cell>
          <cell r="D43">
            <v>60.67</v>
          </cell>
          <cell r="E43">
            <v>60.67</v>
          </cell>
          <cell r="F43">
            <v>60.67</v>
          </cell>
          <cell r="G43">
            <v>60.67</v>
          </cell>
          <cell r="H43">
            <v>60.67</v>
          </cell>
          <cell r="I43">
            <v>60.67</v>
          </cell>
          <cell r="J43">
            <v>60.67</v>
          </cell>
          <cell r="K43">
            <v>60.67</v>
          </cell>
          <cell r="L43">
            <v>60.67</v>
          </cell>
          <cell r="M43">
            <v>60.67</v>
          </cell>
          <cell r="N43">
            <v>728.04</v>
          </cell>
          <cell r="O43" t="str">
            <v>Mutya</v>
          </cell>
        </row>
        <row r="44">
          <cell r="A44" t="str">
            <v>305102 - Bank Charges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 t="str">
            <v>Mutya</v>
          </cell>
          <cell r="P44" t="str">
            <v>please complete</v>
          </cell>
        </row>
        <row r="45">
          <cell r="A45" t="str">
            <v>Total - ADMINISTRATIVE EXPENSES - ADMINISTRATIVE EXPENSES</v>
          </cell>
          <cell r="B45">
            <v>3308.67</v>
          </cell>
          <cell r="C45">
            <v>1708.67</v>
          </cell>
          <cell r="D45">
            <v>2308.67</v>
          </cell>
          <cell r="E45">
            <v>1728.67</v>
          </cell>
          <cell r="F45">
            <v>1728.67</v>
          </cell>
          <cell r="G45">
            <v>2308.67</v>
          </cell>
          <cell r="H45">
            <v>1758.67</v>
          </cell>
          <cell r="I45">
            <v>1758.67</v>
          </cell>
          <cell r="J45">
            <v>1708.67</v>
          </cell>
          <cell r="K45">
            <v>1708.67</v>
          </cell>
          <cell r="L45">
            <v>2308.67</v>
          </cell>
          <cell r="M45">
            <v>1708.67</v>
          </cell>
          <cell r="N45">
            <v>24224.04</v>
          </cell>
        </row>
        <row r="46">
          <cell r="A46" t="str">
            <v>EMPLOYEE BENEFITS EXPENSE - EMPLOYEE BENEFITS EXPENSE</v>
          </cell>
          <cell r="B46">
            <v>0.58981092436974791</v>
          </cell>
          <cell r="C46">
            <v>0.41751269035532995</v>
          </cell>
          <cell r="D46">
            <v>0.31383399209486168</v>
          </cell>
          <cell r="E46">
            <v>0.33818466353677623</v>
          </cell>
          <cell r="F46">
            <v>0.32222222222222224</v>
          </cell>
          <cell r="G46">
            <v>0.48110236220472441</v>
          </cell>
          <cell r="H46">
            <v>0.38859030837004405</v>
          </cell>
          <cell r="I46">
            <v>0.30282975810132362</v>
          </cell>
          <cell r="J46">
            <v>0.35820433436532506</v>
          </cell>
          <cell r="K46">
            <v>0.36640624999999999</v>
          </cell>
          <cell r="L46">
            <v>0.56771799628942488</v>
          </cell>
          <cell r="M46">
            <v>0.67164179104477617</v>
          </cell>
          <cell r="N46">
            <v>0.37116402116402114</v>
          </cell>
        </row>
        <row r="47">
          <cell r="A47" t="str">
            <v>304001 - Salaries &amp; Wages - Permanent Staff</v>
          </cell>
          <cell r="B47">
            <v>4880</v>
          </cell>
          <cell r="C47">
            <v>4880</v>
          </cell>
          <cell r="D47">
            <v>5110</v>
          </cell>
          <cell r="E47">
            <v>5355</v>
          </cell>
          <cell r="F47">
            <v>5355</v>
          </cell>
          <cell r="G47">
            <v>5110</v>
          </cell>
          <cell r="H47">
            <v>5821</v>
          </cell>
          <cell r="I47">
            <v>5320</v>
          </cell>
          <cell r="J47">
            <v>5570</v>
          </cell>
          <cell r="K47">
            <v>5825</v>
          </cell>
          <cell r="L47">
            <v>5070</v>
          </cell>
          <cell r="M47">
            <v>4050</v>
          </cell>
          <cell r="N47">
            <v>62346</v>
          </cell>
        </row>
        <row r="48">
          <cell r="A48" t="str">
            <v>304004 - Salaries &amp; Wages - Other</v>
          </cell>
          <cell r="B48">
            <v>735</v>
          </cell>
          <cell r="C48">
            <v>1700</v>
          </cell>
          <cell r="D48">
            <v>6800</v>
          </cell>
          <cell r="E48">
            <v>5450</v>
          </cell>
          <cell r="F48">
            <v>6100</v>
          </cell>
          <cell r="G48">
            <v>1000</v>
          </cell>
          <cell r="H48">
            <v>3000</v>
          </cell>
          <cell r="I48">
            <v>7950</v>
          </cell>
          <cell r="J48">
            <v>6000</v>
          </cell>
          <cell r="K48">
            <v>5900</v>
          </cell>
          <cell r="L48">
            <v>1050</v>
          </cell>
          <cell r="M48">
            <v>0</v>
          </cell>
          <cell r="N48">
            <v>45685</v>
          </cell>
        </row>
        <row r="49">
          <cell r="A49" t="str">
            <v>304010 - Superannuation</v>
          </cell>
          <cell r="B49">
            <v>712.59060161000002</v>
          </cell>
          <cell r="C49">
            <v>826.33997661000001</v>
          </cell>
          <cell r="D49">
            <v>1457.0043351387499</v>
          </cell>
          <cell r="E49">
            <v>1329.2989779193749</v>
          </cell>
          <cell r="F49">
            <v>1405.917727919375</v>
          </cell>
          <cell r="G49">
            <v>773.32933513875003</v>
          </cell>
          <cell r="H49">
            <v>1148.1167568809999</v>
          </cell>
          <cell r="I49">
            <v>1689.9099805199999</v>
          </cell>
          <cell r="J49">
            <v>1483.5214457699999</v>
          </cell>
          <cell r="K49">
            <v>1505.3521403249999</v>
          </cell>
          <cell r="L49">
            <v>807.74851526999998</v>
          </cell>
          <cell r="M49">
            <v>542.07573704999993</v>
          </cell>
          <cell r="N49">
            <v>13681.205530152249</v>
          </cell>
        </row>
        <row r="50">
          <cell r="A50" t="str">
            <v>304013 - Workers Compensation Insurance</v>
          </cell>
          <cell r="B50">
            <v>58.866180132999993</v>
          </cell>
          <cell r="C50">
            <v>68.262867632999999</v>
          </cell>
          <cell r="D50">
            <v>120.36122768537498</v>
          </cell>
          <cell r="E50">
            <v>109.8116546976875</v>
          </cell>
          <cell r="F50">
            <v>116.1410296976875</v>
          </cell>
          <cell r="G50">
            <v>63.883727685375</v>
          </cell>
          <cell r="H50">
            <v>90.892576586412488</v>
          </cell>
          <cell r="I50">
            <v>133.78454012450001</v>
          </cell>
          <cell r="J50">
            <v>117.445447790125</v>
          </cell>
          <cell r="K50">
            <v>119.17371110906251</v>
          </cell>
          <cell r="L50">
            <v>63.946757458875005</v>
          </cell>
          <cell r="M50">
            <v>42.914329183124998</v>
          </cell>
          <cell r="N50">
            <v>1105.4840497842249</v>
          </cell>
        </row>
        <row r="51">
          <cell r="A51" t="str">
            <v>304016 - Annual Leave Provision</v>
          </cell>
          <cell r="B51">
            <v>441.06501400000002</v>
          </cell>
          <cell r="C51">
            <v>441.06501400000002</v>
          </cell>
          <cell r="D51">
            <v>461.85291425000008</v>
          </cell>
          <cell r="E51">
            <v>483.99654712500006</v>
          </cell>
          <cell r="F51">
            <v>483.99654712500006</v>
          </cell>
          <cell r="G51">
            <v>461.85291425000008</v>
          </cell>
          <cell r="H51">
            <v>526.11464067500003</v>
          </cell>
          <cell r="I51">
            <v>480.83317099999999</v>
          </cell>
          <cell r="J51">
            <v>503.42871475000004</v>
          </cell>
          <cell r="K51">
            <v>526.47616937500004</v>
          </cell>
          <cell r="L51">
            <v>458.23762725000006</v>
          </cell>
          <cell r="M51">
            <v>366.04780875000006</v>
          </cell>
          <cell r="N51">
            <v>5634.9670825499998</v>
          </cell>
        </row>
        <row r="52">
          <cell r="A52" t="str">
            <v>304019 - Long Service Leave Provision</v>
          </cell>
          <cell r="B52">
            <v>140.375</v>
          </cell>
          <cell r="C52">
            <v>164.5</v>
          </cell>
          <cell r="D52">
            <v>297.75</v>
          </cell>
          <cell r="E52">
            <v>270.125</v>
          </cell>
          <cell r="F52">
            <v>286.375</v>
          </cell>
          <cell r="G52">
            <v>152.75</v>
          </cell>
          <cell r="H52">
            <v>220.52500000000001</v>
          </cell>
          <cell r="I52">
            <v>331.75</v>
          </cell>
          <cell r="J52">
            <v>289.25</v>
          </cell>
          <cell r="K52">
            <v>293.125</v>
          </cell>
          <cell r="L52">
            <v>153</v>
          </cell>
          <cell r="M52">
            <v>101.25</v>
          </cell>
          <cell r="N52">
            <v>2700.7750000000001</v>
          </cell>
        </row>
        <row r="53">
          <cell r="A53" t="str">
            <v>Total - EMPLOYEE BENEFITS EXPENSE - EMPLOYEE BENEFITS EXPENSE</v>
          </cell>
          <cell r="B53">
            <v>6967.8967957429995</v>
          </cell>
          <cell r="C53">
            <v>8080.1678582429995</v>
          </cell>
          <cell r="D53">
            <v>14246.968477074124</v>
          </cell>
          <cell r="E53">
            <v>12998.232179742061</v>
          </cell>
          <cell r="F53">
            <v>13747.430304742064</v>
          </cell>
          <cell r="G53">
            <v>7561.8159770741249</v>
          </cell>
          <cell r="H53">
            <v>10806.648974142412</v>
          </cell>
          <cell r="I53">
            <v>15906.2776916445</v>
          </cell>
          <cell r="J53">
            <v>13963.645608310126</v>
          </cell>
          <cell r="K53">
            <v>14169.127020809063</v>
          </cell>
          <cell r="L53">
            <v>7602.9328999788759</v>
          </cell>
          <cell r="M53">
            <v>5102.2878749831252</v>
          </cell>
          <cell r="N53">
            <v>131153.43166248646</v>
          </cell>
        </row>
        <row r="54">
          <cell r="A54" t="str">
            <v>Total - Expenses</v>
          </cell>
          <cell r="B54">
            <v>10276.566795743</v>
          </cell>
          <cell r="C54">
            <v>9788.8378582429996</v>
          </cell>
          <cell r="D54">
            <v>16555.638477074124</v>
          </cell>
          <cell r="E54">
            <v>14726.902179742061</v>
          </cell>
          <cell r="F54">
            <v>15476.100304742064</v>
          </cell>
          <cell r="G54">
            <v>9870.4859770741241</v>
          </cell>
          <cell r="H54">
            <v>12565.318974142412</v>
          </cell>
          <cell r="I54">
            <v>17664.947691644498</v>
          </cell>
          <cell r="J54">
            <v>15672.315608310126</v>
          </cell>
          <cell r="K54">
            <v>15877.797020809063</v>
          </cell>
          <cell r="L54">
            <v>9911.6028999788759</v>
          </cell>
          <cell r="M54">
            <v>6810.9578749831253</v>
          </cell>
          <cell r="N54">
            <v>155377.47166248647</v>
          </cell>
        </row>
        <row r="55">
          <cell r="A55" t="str">
            <v>Operating Profit</v>
          </cell>
          <cell r="B55">
            <v>-4469.3667957429998</v>
          </cell>
          <cell r="C55">
            <v>-175.23785824300103</v>
          </cell>
          <cell r="D55">
            <v>6593.8615229258758</v>
          </cell>
          <cell r="E55">
            <v>4762.597820257939</v>
          </cell>
          <cell r="F55">
            <v>6209.3996952579364</v>
          </cell>
          <cell r="G55">
            <v>-2123.4859770741241</v>
          </cell>
          <cell r="H55">
            <v>1281.6810258575879</v>
          </cell>
          <cell r="I55">
            <v>9065.2523083555025</v>
          </cell>
          <cell r="J55">
            <v>4030.6843916898742</v>
          </cell>
          <cell r="K55">
            <v>3642.2029791909372</v>
          </cell>
          <cell r="L55">
            <v>-3335.8028999788758</v>
          </cell>
          <cell r="M55">
            <v>-3132.6578749831256</v>
          </cell>
          <cell r="N55">
            <v>22169.128337513539</v>
          </cell>
        </row>
        <row r="56">
          <cell r="A56" t="str">
            <v>Net Profit/(Loss)</v>
          </cell>
          <cell r="B56">
            <v>-4469.3667957429998</v>
          </cell>
          <cell r="C56">
            <v>-175.23785824300103</v>
          </cell>
          <cell r="D56">
            <v>6593.8615229258758</v>
          </cell>
          <cell r="E56">
            <v>4762.597820257939</v>
          </cell>
          <cell r="F56">
            <v>6209.3996952579364</v>
          </cell>
          <cell r="G56">
            <v>-2123.4859770741241</v>
          </cell>
          <cell r="H56">
            <v>1281.6810258575879</v>
          </cell>
          <cell r="I56">
            <v>9065.2523083555025</v>
          </cell>
          <cell r="J56">
            <v>4030.6843916898742</v>
          </cell>
          <cell r="K56">
            <v>3642.2029791909372</v>
          </cell>
          <cell r="L56">
            <v>-3335.8028999788758</v>
          </cell>
          <cell r="M56">
            <v>-3132.6578749831256</v>
          </cell>
          <cell r="N56">
            <v>22169.128337513539</v>
          </cell>
          <cell r="O56" t="str">
            <v>goal $15k or less</v>
          </cell>
        </row>
      </sheetData>
      <sheetData sheetId="4">
        <row r="1">
          <cell r="A1" t="str">
            <v>Guild of Undergraduates</v>
          </cell>
        </row>
        <row r="2">
          <cell r="A2" t="str">
            <v>Budget 2025</v>
          </cell>
        </row>
        <row r="3">
          <cell r="A3" t="str">
            <v>CATALYST Café</v>
          </cell>
        </row>
        <row r="4">
          <cell r="A4" t="str">
            <v/>
          </cell>
        </row>
        <row r="5">
          <cell r="A5" t="str">
            <v>Financial Row</v>
          </cell>
          <cell r="B5">
            <v>45658</v>
          </cell>
          <cell r="C5">
            <v>45689</v>
          </cell>
          <cell r="D5">
            <v>45717</v>
          </cell>
          <cell r="E5">
            <v>45748</v>
          </cell>
          <cell r="F5">
            <v>45778</v>
          </cell>
          <cell r="G5">
            <v>45809</v>
          </cell>
          <cell r="H5">
            <v>45839</v>
          </cell>
          <cell r="I5">
            <v>45870</v>
          </cell>
          <cell r="J5">
            <v>45901</v>
          </cell>
          <cell r="K5">
            <v>45931</v>
          </cell>
          <cell r="L5">
            <v>45962</v>
          </cell>
          <cell r="M5">
            <v>45992</v>
          </cell>
          <cell r="N5" t="str">
            <v>Total</v>
          </cell>
        </row>
        <row r="6">
          <cell r="A6" t="str">
            <v>Income</v>
          </cell>
        </row>
        <row r="7">
          <cell r="A7" t="str">
            <v>SALES OF GOODS - SALES OF GOODS</v>
          </cell>
        </row>
        <row r="8">
          <cell r="A8" t="str">
            <v>101001 - Sales - Catering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101005 - Sales - End of Day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101050 - Under/Overs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Total - SALES OF GOODS - SALES OF GOODS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SALES CATERING DISCOUNT - SALES CATERING DISCOUNT</v>
          </cell>
        </row>
        <row r="13">
          <cell r="A13" t="str">
            <v>102000 - Guild Member Discount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102003 - Other Promotional Discounts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 t="str">
            <v>2019 actual $822 934 (pre covid, pre ref, pre iga)</v>
          </cell>
        </row>
        <row r="15">
          <cell r="A15" t="str">
            <v>Total - SALES CATERING DISCOUNT - SALES CATERING DISCOUNT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 t="str">
            <v>2023 actual $692 464 (Nov + Dec = Quobba closed)</v>
          </cell>
        </row>
        <row r="16">
          <cell r="A16" t="str">
            <v>Total - Income</v>
          </cell>
          <cell r="B16">
            <v>20200</v>
          </cell>
          <cell r="C16">
            <v>38200</v>
          </cell>
          <cell r="D16">
            <v>91800</v>
          </cell>
          <cell r="E16">
            <v>76800</v>
          </cell>
          <cell r="F16">
            <v>90550</v>
          </cell>
          <cell r="G16">
            <v>47700</v>
          </cell>
          <cell r="H16">
            <v>50750</v>
          </cell>
          <cell r="I16">
            <v>88850</v>
          </cell>
          <cell r="J16">
            <v>74600</v>
          </cell>
          <cell r="K16">
            <v>88800</v>
          </cell>
          <cell r="L16">
            <v>40650</v>
          </cell>
          <cell r="M16">
            <v>22850</v>
          </cell>
          <cell r="N16">
            <v>731750</v>
          </cell>
          <cell r="O16" t="str">
            <v>2024 actual Jan - Sept $778 358 (Quobba under renovations, open weekends)</v>
          </cell>
        </row>
        <row r="17">
          <cell r="A17" t="str">
            <v>Cost Of Sales</v>
          </cell>
          <cell r="B17">
            <v>0.39</v>
          </cell>
          <cell r="C17">
            <v>0.39</v>
          </cell>
          <cell r="D17">
            <v>0.39</v>
          </cell>
          <cell r="E17">
            <v>0.39</v>
          </cell>
          <cell r="F17">
            <v>0.39</v>
          </cell>
          <cell r="G17">
            <v>0.39</v>
          </cell>
          <cell r="H17">
            <v>0.39</v>
          </cell>
          <cell r="I17">
            <v>0.39</v>
          </cell>
          <cell r="J17">
            <v>0.39</v>
          </cell>
          <cell r="K17">
            <v>0.39</v>
          </cell>
          <cell r="L17">
            <v>0.39</v>
          </cell>
          <cell r="M17">
            <v>0.39</v>
          </cell>
          <cell r="N17">
            <v>0.39</v>
          </cell>
          <cell r="O17" t="str">
            <v>are we including or excluding wages in MK transfers?</v>
          </cell>
        </row>
        <row r="18">
          <cell r="A18" t="str">
            <v>201070 - Cost of Goods Sold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201075 - FREIGHT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201600 - Inter Department Transfers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Total - Cost Of Sales</v>
          </cell>
          <cell r="B21">
            <v>7878</v>
          </cell>
          <cell r="C21">
            <v>14898</v>
          </cell>
          <cell r="D21">
            <v>35802</v>
          </cell>
          <cell r="E21">
            <v>29952</v>
          </cell>
          <cell r="F21">
            <v>35314.5</v>
          </cell>
          <cell r="G21">
            <v>18603</v>
          </cell>
          <cell r="H21">
            <v>19792.5</v>
          </cell>
          <cell r="I21">
            <v>34651.5</v>
          </cell>
          <cell r="J21">
            <v>29094</v>
          </cell>
          <cell r="K21">
            <v>34632</v>
          </cell>
          <cell r="L21">
            <v>15853.5</v>
          </cell>
          <cell r="M21">
            <v>8911.5</v>
          </cell>
          <cell r="N21">
            <v>285382.5</v>
          </cell>
        </row>
        <row r="22">
          <cell r="A22" t="str">
            <v>Gross Profit</v>
          </cell>
          <cell r="B22">
            <v>12322</v>
          </cell>
          <cell r="C22">
            <v>23302</v>
          </cell>
          <cell r="D22">
            <v>55998</v>
          </cell>
          <cell r="E22">
            <v>46848</v>
          </cell>
          <cell r="F22">
            <v>55235.5</v>
          </cell>
          <cell r="G22">
            <v>29097</v>
          </cell>
          <cell r="H22">
            <v>30957.5</v>
          </cell>
          <cell r="I22">
            <v>54198.5</v>
          </cell>
          <cell r="J22">
            <v>45506</v>
          </cell>
          <cell r="K22">
            <v>54168</v>
          </cell>
          <cell r="L22">
            <v>24796.5</v>
          </cell>
          <cell r="M22">
            <v>13938.5</v>
          </cell>
          <cell r="N22">
            <v>446367.5</v>
          </cell>
        </row>
        <row r="23">
          <cell r="A23" t="str">
            <v>Expenses</v>
          </cell>
        </row>
        <row r="24">
          <cell r="A24" t="str">
            <v>ADMINISTRATIVE EXPENSES - ADMINISTRATIVE EXPENSES</v>
          </cell>
        </row>
        <row r="25">
          <cell r="A25" t="str">
            <v>305083 - Advertising &amp; Promotion</v>
          </cell>
          <cell r="B25">
            <v>15</v>
          </cell>
          <cell r="C25">
            <v>15</v>
          </cell>
          <cell r="D25">
            <v>15</v>
          </cell>
          <cell r="E25">
            <v>15</v>
          </cell>
          <cell r="F25">
            <v>15</v>
          </cell>
          <cell r="G25">
            <v>15</v>
          </cell>
          <cell r="H25">
            <v>15</v>
          </cell>
          <cell r="I25">
            <v>15</v>
          </cell>
          <cell r="J25">
            <v>15</v>
          </cell>
          <cell r="K25">
            <v>15</v>
          </cell>
          <cell r="L25">
            <v>15</v>
          </cell>
          <cell r="M25">
            <v>15</v>
          </cell>
          <cell r="N25">
            <v>180</v>
          </cell>
        </row>
        <row r="26">
          <cell r="A26" t="str">
            <v>305108 - Cleaning Contract</v>
          </cell>
          <cell r="B26">
            <v>155</v>
          </cell>
          <cell r="C26">
            <v>155</v>
          </cell>
          <cell r="D26">
            <v>155</v>
          </cell>
          <cell r="E26">
            <v>155</v>
          </cell>
          <cell r="F26">
            <v>155</v>
          </cell>
          <cell r="G26">
            <v>155</v>
          </cell>
          <cell r="H26">
            <v>155</v>
          </cell>
          <cell r="I26">
            <v>155</v>
          </cell>
          <cell r="J26">
            <v>155</v>
          </cell>
          <cell r="K26">
            <v>155</v>
          </cell>
          <cell r="L26">
            <v>155</v>
          </cell>
          <cell r="M26">
            <v>155</v>
          </cell>
          <cell r="N26">
            <v>1860</v>
          </cell>
          <cell r="O26" t="str">
            <v>Dunbar $328/ Xsential $400? / Jaymak $545 x2</v>
          </cell>
        </row>
        <row r="27">
          <cell r="A27" t="str">
            <v>305109 - Cleaning Consumables</v>
          </cell>
          <cell r="B27">
            <v>125</v>
          </cell>
          <cell r="C27">
            <v>125</v>
          </cell>
          <cell r="D27">
            <v>125</v>
          </cell>
          <cell r="E27">
            <v>125</v>
          </cell>
          <cell r="F27">
            <v>125</v>
          </cell>
          <cell r="G27">
            <v>125</v>
          </cell>
          <cell r="H27">
            <v>125</v>
          </cell>
          <cell r="I27">
            <v>125</v>
          </cell>
          <cell r="J27">
            <v>125</v>
          </cell>
          <cell r="K27">
            <v>125</v>
          </cell>
          <cell r="L27">
            <v>125</v>
          </cell>
          <cell r="M27">
            <v>125</v>
          </cell>
          <cell r="N27">
            <v>1500</v>
          </cell>
        </row>
        <row r="28">
          <cell r="A28" t="str">
            <v>305111 - Communication Expenses</v>
          </cell>
          <cell r="B28">
            <v>20</v>
          </cell>
          <cell r="C28">
            <v>20</v>
          </cell>
          <cell r="D28">
            <v>20</v>
          </cell>
          <cell r="E28">
            <v>20</v>
          </cell>
          <cell r="F28">
            <v>20</v>
          </cell>
          <cell r="G28">
            <v>20</v>
          </cell>
          <cell r="H28">
            <v>20</v>
          </cell>
          <cell r="I28">
            <v>20</v>
          </cell>
          <cell r="J28">
            <v>20</v>
          </cell>
          <cell r="K28">
            <v>20</v>
          </cell>
          <cell r="L28">
            <v>20</v>
          </cell>
          <cell r="M28">
            <v>20</v>
          </cell>
          <cell r="N28">
            <v>240</v>
          </cell>
          <cell r="O28" t="str">
            <v>Mutya</v>
          </cell>
        </row>
        <row r="29">
          <cell r="A29" t="str">
            <v>305112 - Paper Products &amp; Packaging</v>
          </cell>
          <cell r="B29">
            <v>1200</v>
          </cell>
          <cell r="C29">
            <v>1200</v>
          </cell>
          <cell r="D29">
            <v>1200</v>
          </cell>
          <cell r="E29">
            <v>1200</v>
          </cell>
          <cell r="F29">
            <v>1200</v>
          </cell>
          <cell r="G29">
            <v>1200</v>
          </cell>
          <cell r="H29">
            <v>1200</v>
          </cell>
          <cell r="I29">
            <v>1200</v>
          </cell>
          <cell r="J29">
            <v>1200</v>
          </cell>
          <cell r="K29">
            <v>1200</v>
          </cell>
          <cell r="L29">
            <v>1200</v>
          </cell>
          <cell r="M29">
            <v>1200</v>
          </cell>
          <cell r="N29">
            <v>14400</v>
          </cell>
        </row>
        <row r="30">
          <cell r="A30" t="str">
            <v>305114 - Computer Expenses</v>
          </cell>
          <cell r="B30">
            <v>1000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1000</v>
          </cell>
          <cell r="O30" t="str">
            <v>Mutya</v>
          </cell>
        </row>
        <row r="31">
          <cell r="A31" t="str">
            <v>305132 - Utilities</v>
          </cell>
          <cell r="B31">
            <v>850</v>
          </cell>
          <cell r="C31">
            <v>1000</v>
          </cell>
          <cell r="D31">
            <v>1200</v>
          </cell>
          <cell r="E31">
            <v>1150</v>
          </cell>
          <cell r="F31">
            <v>1250</v>
          </cell>
          <cell r="G31">
            <v>1100</v>
          </cell>
          <cell r="H31">
            <v>1100</v>
          </cell>
          <cell r="I31">
            <v>1250</v>
          </cell>
          <cell r="J31">
            <v>1250</v>
          </cell>
          <cell r="K31">
            <v>1250</v>
          </cell>
          <cell r="L31">
            <v>1000</v>
          </cell>
          <cell r="M31">
            <v>1000</v>
          </cell>
          <cell r="N31">
            <v>13400</v>
          </cell>
          <cell r="O31" t="str">
            <v>Mutya</v>
          </cell>
        </row>
        <row r="32">
          <cell r="A32" t="str">
            <v>305147 - General Expenses</v>
          </cell>
          <cell r="B32">
            <v>55</v>
          </cell>
          <cell r="C32">
            <v>55</v>
          </cell>
          <cell r="D32">
            <v>55</v>
          </cell>
          <cell r="E32">
            <v>55</v>
          </cell>
          <cell r="F32">
            <v>55</v>
          </cell>
          <cell r="G32">
            <v>55</v>
          </cell>
          <cell r="H32">
            <v>55</v>
          </cell>
          <cell r="I32">
            <v>55</v>
          </cell>
          <cell r="J32">
            <v>55</v>
          </cell>
          <cell r="K32">
            <v>55</v>
          </cell>
          <cell r="L32">
            <v>55</v>
          </cell>
          <cell r="M32">
            <v>55</v>
          </cell>
          <cell r="N32">
            <v>660</v>
          </cell>
          <cell r="O32" t="str">
            <v>LY $600/ YTD $430</v>
          </cell>
        </row>
        <row r="33">
          <cell r="A33" t="str">
            <v>305156 - Laundry</v>
          </cell>
          <cell r="B33">
            <v>125</v>
          </cell>
          <cell r="C33">
            <v>125</v>
          </cell>
          <cell r="D33">
            <v>125</v>
          </cell>
          <cell r="E33">
            <v>125</v>
          </cell>
          <cell r="F33">
            <v>125</v>
          </cell>
          <cell r="G33">
            <v>125</v>
          </cell>
          <cell r="H33">
            <v>125</v>
          </cell>
          <cell r="I33">
            <v>125</v>
          </cell>
          <cell r="J33">
            <v>125</v>
          </cell>
          <cell r="K33">
            <v>125</v>
          </cell>
          <cell r="L33">
            <v>125</v>
          </cell>
          <cell r="M33">
            <v>125</v>
          </cell>
          <cell r="N33">
            <v>1500</v>
          </cell>
        </row>
        <row r="34">
          <cell r="A34" t="str">
            <v>305162 - Licence &amp; Permits</v>
          </cell>
          <cell r="B34">
            <v>44</v>
          </cell>
          <cell r="C34">
            <v>44</v>
          </cell>
          <cell r="D34">
            <v>44</v>
          </cell>
          <cell r="E34">
            <v>44</v>
          </cell>
          <cell r="F34">
            <v>44</v>
          </cell>
          <cell r="G34">
            <v>44</v>
          </cell>
          <cell r="H34">
            <v>44</v>
          </cell>
          <cell r="I34">
            <v>44</v>
          </cell>
          <cell r="J34">
            <v>44</v>
          </cell>
          <cell r="K34">
            <v>44</v>
          </cell>
          <cell r="L34">
            <v>44</v>
          </cell>
          <cell r="M34">
            <v>44</v>
          </cell>
          <cell r="N34">
            <v>528</v>
          </cell>
          <cell r="O34" t="str">
            <v>City of Perth $260 x 2 = $520</v>
          </cell>
        </row>
        <row r="35">
          <cell r="A35" t="str">
            <v>305168 - Occupational  Health &amp; Safety</v>
          </cell>
          <cell r="B35">
            <v>12</v>
          </cell>
          <cell r="C35">
            <v>12</v>
          </cell>
          <cell r="D35">
            <v>12</v>
          </cell>
          <cell r="E35">
            <v>12</v>
          </cell>
          <cell r="F35">
            <v>12</v>
          </cell>
          <cell r="G35">
            <v>12</v>
          </cell>
          <cell r="H35">
            <v>12</v>
          </cell>
          <cell r="I35">
            <v>12</v>
          </cell>
          <cell r="J35">
            <v>12</v>
          </cell>
          <cell r="K35">
            <v>12</v>
          </cell>
          <cell r="L35">
            <v>12</v>
          </cell>
          <cell r="M35">
            <v>12</v>
          </cell>
          <cell r="N35">
            <v>144</v>
          </cell>
          <cell r="O35" t="str">
            <v>First Aid Kit $71 x2</v>
          </cell>
        </row>
        <row r="36">
          <cell r="A36" t="str">
            <v>305180 - Printing &amp; Stationery</v>
          </cell>
          <cell r="B36">
            <v>35</v>
          </cell>
          <cell r="C36">
            <v>35</v>
          </cell>
          <cell r="D36">
            <v>35</v>
          </cell>
          <cell r="E36">
            <v>35</v>
          </cell>
          <cell r="F36">
            <v>35</v>
          </cell>
          <cell r="G36">
            <v>35</v>
          </cell>
          <cell r="H36">
            <v>35</v>
          </cell>
          <cell r="I36">
            <v>35</v>
          </cell>
          <cell r="J36">
            <v>35</v>
          </cell>
          <cell r="K36">
            <v>35</v>
          </cell>
          <cell r="L36">
            <v>35</v>
          </cell>
          <cell r="M36">
            <v>35</v>
          </cell>
          <cell r="N36">
            <v>420</v>
          </cell>
        </row>
        <row r="37">
          <cell r="A37" t="str">
            <v>305185 - Minor Assets</v>
          </cell>
          <cell r="B37">
            <v>60</v>
          </cell>
          <cell r="C37">
            <v>60</v>
          </cell>
          <cell r="D37">
            <v>60</v>
          </cell>
          <cell r="E37">
            <v>60</v>
          </cell>
          <cell r="F37">
            <v>60</v>
          </cell>
          <cell r="G37">
            <v>60</v>
          </cell>
          <cell r="H37">
            <v>60</v>
          </cell>
          <cell r="I37">
            <v>60</v>
          </cell>
          <cell r="J37">
            <v>60</v>
          </cell>
          <cell r="K37">
            <v>60</v>
          </cell>
          <cell r="L37">
            <v>60</v>
          </cell>
          <cell r="M37">
            <v>60</v>
          </cell>
          <cell r="N37">
            <v>720</v>
          </cell>
        </row>
        <row r="38">
          <cell r="A38" t="str">
            <v>305187 - Software Digital</v>
          </cell>
          <cell r="B38">
            <v>250</v>
          </cell>
          <cell r="C38">
            <v>250</v>
          </cell>
          <cell r="D38">
            <v>250</v>
          </cell>
          <cell r="E38">
            <v>250</v>
          </cell>
          <cell r="F38">
            <v>250</v>
          </cell>
          <cell r="G38">
            <v>250</v>
          </cell>
          <cell r="H38">
            <v>250</v>
          </cell>
          <cell r="I38">
            <v>250</v>
          </cell>
          <cell r="J38">
            <v>250</v>
          </cell>
          <cell r="K38">
            <v>250</v>
          </cell>
          <cell r="L38">
            <v>250</v>
          </cell>
          <cell r="M38">
            <v>250</v>
          </cell>
          <cell r="N38">
            <v>3000</v>
          </cell>
          <cell r="O38" t="str">
            <v>Mutya</v>
          </cell>
        </row>
        <row r="39">
          <cell r="A39" t="str">
            <v>305189 - Repairs &amp; Maintenance</v>
          </cell>
          <cell r="B39">
            <v>535</v>
          </cell>
          <cell r="C39">
            <v>535</v>
          </cell>
          <cell r="D39">
            <v>535</v>
          </cell>
          <cell r="E39">
            <v>535</v>
          </cell>
          <cell r="F39">
            <v>535</v>
          </cell>
          <cell r="G39">
            <v>535</v>
          </cell>
          <cell r="H39">
            <v>535</v>
          </cell>
          <cell r="I39">
            <v>535</v>
          </cell>
          <cell r="J39">
            <v>535</v>
          </cell>
          <cell r="K39">
            <v>535</v>
          </cell>
          <cell r="L39">
            <v>535</v>
          </cell>
          <cell r="M39">
            <v>535</v>
          </cell>
          <cell r="N39">
            <v>6420</v>
          </cell>
          <cell r="O39" t="str">
            <v>*look at age of equipment</v>
          </cell>
        </row>
        <row r="40">
          <cell r="A40" t="str">
            <v>305197 - Replacement of Glass/Cutlery</v>
          </cell>
          <cell r="B40">
            <v>10</v>
          </cell>
          <cell r="C40">
            <v>10</v>
          </cell>
          <cell r="D40">
            <v>10</v>
          </cell>
          <cell r="E40">
            <v>10</v>
          </cell>
          <cell r="F40">
            <v>10</v>
          </cell>
          <cell r="G40">
            <v>10</v>
          </cell>
          <cell r="H40">
            <v>10</v>
          </cell>
          <cell r="I40">
            <v>10</v>
          </cell>
          <cell r="J40">
            <v>10</v>
          </cell>
          <cell r="K40">
            <v>10</v>
          </cell>
          <cell r="L40">
            <v>10</v>
          </cell>
          <cell r="M40">
            <v>10</v>
          </cell>
          <cell r="N40">
            <v>120</v>
          </cell>
        </row>
        <row r="41">
          <cell r="A41" t="str">
            <v>305219 - Subscriptions</v>
          </cell>
          <cell r="B41">
            <v>130</v>
          </cell>
          <cell r="C41">
            <v>130</v>
          </cell>
          <cell r="D41">
            <v>130</v>
          </cell>
          <cell r="E41">
            <v>130</v>
          </cell>
          <cell r="F41">
            <v>130</v>
          </cell>
          <cell r="G41">
            <v>130</v>
          </cell>
          <cell r="H41">
            <v>130</v>
          </cell>
          <cell r="I41">
            <v>130</v>
          </cell>
          <cell r="J41">
            <v>130</v>
          </cell>
          <cell r="K41">
            <v>130</v>
          </cell>
          <cell r="L41">
            <v>130</v>
          </cell>
          <cell r="M41">
            <v>130</v>
          </cell>
          <cell r="N41">
            <v>1560</v>
          </cell>
          <cell r="O41" t="str">
            <v>buzzers + newspapers</v>
          </cell>
        </row>
        <row r="42">
          <cell r="A42" t="str">
            <v>305225 - Uniforms</v>
          </cell>
          <cell r="B42">
            <v>20</v>
          </cell>
          <cell r="C42">
            <v>20</v>
          </cell>
          <cell r="D42">
            <v>20</v>
          </cell>
          <cell r="E42">
            <v>20</v>
          </cell>
          <cell r="F42">
            <v>20</v>
          </cell>
          <cell r="G42">
            <v>20</v>
          </cell>
          <cell r="H42">
            <v>20</v>
          </cell>
          <cell r="I42">
            <v>20</v>
          </cell>
          <cell r="J42">
            <v>20</v>
          </cell>
          <cell r="K42">
            <v>20</v>
          </cell>
          <cell r="L42">
            <v>20</v>
          </cell>
          <cell r="M42">
            <v>20</v>
          </cell>
          <cell r="N42">
            <v>240</v>
          </cell>
        </row>
        <row r="43">
          <cell r="A43" t="str">
            <v>305228 - Waste Control</v>
          </cell>
          <cell r="B43">
            <v>565</v>
          </cell>
          <cell r="C43">
            <v>565</v>
          </cell>
          <cell r="D43">
            <v>565</v>
          </cell>
          <cell r="E43">
            <v>565</v>
          </cell>
          <cell r="F43">
            <v>565</v>
          </cell>
          <cell r="G43">
            <v>565</v>
          </cell>
          <cell r="H43">
            <v>565</v>
          </cell>
          <cell r="I43">
            <v>565</v>
          </cell>
          <cell r="J43">
            <v>565</v>
          </cell>
          <cell r="K43">
            <v>565</v>
          </cell>
          <cell r="L43">
            <v>565</v>
          </cell>
          <cell r="M43">
            <v>565</v>
          </cell>
          <cell r="N43">
            <v>6780</v>
          </cell>
          <cell r="O43" t="str">
            <v>Cleanaway</v>
          </cell>
        </row>
        <row r="44">
          <cell r="A44" t="str">
            <v>306004 - Depreciation - Computer Equipment</v>
          </cell>
          <cell r="B44">
            <v>348.81</v>
          </cell>
          <cell r="C44">
            <v>348.81</v>
          </cell>
          <cell r="D44">
            <v>348.81</v>
          </cell>
          <cell r="E44">
            <v>348.81</v>
          </cell>
          <cell r="F44">
            <v>348.81</v>
          </cell>
          <cell r="G44">
            <v>348.81</v>
          </cell>
          <cell r="H44">
            <v>348.81</v>
          </cell>
          <cell r="I44">
            <v>348.81</v>
          </cell>
          <cell r="J44">
            <v>348.81</v>
          </cell>
          <cell r="K44">
            <v>348.81</v>
          </cell>
          <cell r="L44">
            <v>348.81</v>
          </cell>
          <cell r="M44">
            <v>348.81</v>
          </cell>
          <cell r="N44">
            <v>4185.72</v>
          </cell>
          <cell r="O44" t="str">
            <v>Mutya</v>
          </cell>
        </row>
        <row r="45">
          <cell r="A45" t="str">
            <v>306006 - Depreciation - Intangible Assets</v>
          </cell>
          <cell r="B45">
            <v>566.29999999999995</v>
          </cell>
          <cell r="C45">
            <v>566.29999999999995</v>
          </cell>
          <cell r="D45">
            <v>566.29999999999995</v>
          </cell>
          <cell r="E45">
            <v>566.29999999999995</v>
          </cell>
          <cell r="F45">
            <v>566.29999999999995</v>
          </cell>
          <cell r="G45">
            <v>566.29999999999995</v>
          </cell>
          <cell r="H45">
            <v>566.29999999999995</v>
          </cell>
          <cell r="I45">
            <v>566.29999999999995</v>
          </cell>
          <cell r="J45">
            <v>566.29999999999995</v>
          </cell>
          <cell r="K45">
            <v>566.29999999999995</v>
          </cell>
          <cell r="L45">
            <v>566.29999999999995</v>
          </cell>
          <cell r="M45">
            <v>566.29999999999995</v>
          </cell>
          <cell r="N45">
            <v>6795.6000000000013</v>
          </cell>
          <cell r="O45" t="str">
            <v>Mutya</v>
          </cell>
        </row>
        <row r="46">
          <cell r="A46" t="str">
            <v>305102 - Bank Charges</v>
          </cell>
          <cell r="B46">
            <v>160.85</v>
          </cell>
          <cell r="C46">
            <v>160.85</v>
          </cell>
          <cell r="D46">
            <v>160.85</v>
          </cell>
          <cell r="E46">
            <v>160.85</v>
          </cell>
          <cell r="F46">
            <v>160.85</v>
          </cell>
          <cell r="G46">
            <v>160.85</v>
          </cell>
          <cell r="H46">
            <v>160.85</v>
          </cell>
          <cell r="I46">
            <v>160.85</v>
          </cell>
          <cell r="J46">
            <v>160.85</v>
          </cell>
          <cell r="K46">
            <v>160.85</v>
          </cell>
          <cell r="L46">
            <v>160.85</v>
          </cell>
          <cell r="M46">
            <v>160.85</v>
          </cell>
          <cell r="N46">
            <v>1930.1999999999996</v>
          </cell>
          <cell r="O46" t="str">
            <v>Mutya</v>
          </cell>
        </row>
        <row r="47">
          <cell r="A47" t="str">
            <v>Total - ADMINISTRATIVE EXPENSES - ADMINISTRATIVE EXPENSES</v>
          </cell>
          <cell r="B47">
            <v>6266.9600000000009</v>
          </cell>
          <cell r="C47">
            <v>5416.9600000000009</v>
          </cell>
          <cell r="D47">
            <v>5616.9600000000009</v>
          </cell>
          <cell r="E47">
            <v>5566.9600000000009</v>
          </cell>
          <cell r="F47">
            <v>5666.9600000000009</v>
          </cell>
          <cell r="G47">
            <v>5516.9600000000009</v>
          </cell>
          <cell r="H47">
            <v>5516.9600000000009</v>
          </cell>
          <cell r="I47">
            <v>5666.9600000000009</v>
          </cell>
          <cell r="J47">
            <v>5666.9600000000009</v>
          </cell>
          <cell r="K47">
            <v>5666.9600000000009</v>
          </cell>
          <cell r="L47">
            <v>5416.9600000000009</v>
          </cell>
          <cell r="M47">
            <v>5416.9600000000009</v>
          </cell>
          <cell r="N47">
            <v>67583.520000000004</v>
          </cell>
        </row>
        <row r="48">
          <cell r="A48" t="str">
            <v>EMPLOYEE BENEFITS EXPENSE - EMPLOYEE BENEFITS EXPENSE</v>
          </cell>
          <cell r="B48">
            <v>0.39603960396039606</v>
          </cell>
          <cell r="C48">
            <v>0.3599476439790576</v>
          </cell>
          <cell r="D48">
            <v>0.2932461873638344</v>
          </cell>
          <cell r="E48">
            <v>0.29479166666666667</v>
          </cell>
          <cell r="F48">
            <v>0.29420209828823857</v>
          </cell>
          <cell r="G48">
            <v>0.3127882599580713</v>
          </cell>
          <cell r="H48">
            <v>0.34157635467980296</v>
          </cell>
          <cell r="I48">
            <v>0.29425998874507597</v>
          </cell>
          <cell r="J48">
            <v>0.29075067024128687</v>
          </cell>
          <cell r="K48">
            <v>0.29431306306306304</v>
          </cell>
          <cell r="L48">
            <v>0.33948339483394835</v>
          </cell>
          <cell r="M48">
            <v>0.45164113785557986</v>
          </cell>
          <cell r="N48">
            <v>0.31198496754355998</v>
          </cell>
        </row>
        <row r="49">
          <cell r="A49" t="str">
            <v>304001 - Salaries &amp; Wages - Permanent Staff</v>
          </cell>
          <cell r="B49">
            <v>8000</v>
          </cell>
          <cell r="C49">
            <v>12400</v>
          </cell>
          <cell r="D49">
            <v>13020</v>
          </cell>
          <cell r="E49">
            <v>13640</v>
          </cell>
          <cell r="F49">
            <v>13640</v>
          </cell>
          <cell r="G49">
            <v>13020</v>
          </cell>
          <cell r="H49">
            <v>14835</v>
          </cell>
          <cell r="I49">
            <v>13545</v>
          </cell>
          <cell r="J49">
            <v>14190</v>
          </cell>
          <cell r="K49">
            <v>14835</v>
          </cell>
          <cell r="L49">
            <v>12900</v>
          </cell>
          <cell r="M49">
            <v>10320</v>
          </cell>
          <cell r="N49">
            <v>154345</v>
          </cell>
        </row>
        <row r="50">
          <cell r="A50" t="str">
            <v>304004 - Salaries &amp; Wages - Other</v>
          </cell>
          <cell r="B50">
            <v>0</v>
          </cell>
          <cell r="C50">
            <v>1350</v>
          </cell>
          <cell r="D50">
            <v>13900</v>
          </cell>
          <cell r="E50">
            <v>9000</v>
          </cell>
          <cell r="F50">
            <v>13000</v>
          </cell>
          <cell r="G50">
            <v>1900</v>
          </cell>
          <cell r="H50">
            <v>2500</v>
          </cell>
          <cell r="I50">
            <v>12600</v>
          </cell>
          <cell r="J50">
            <v>7500</v>
          </cell>
          <cell r="K50">
            <v>11300</v>
          </cell>
          <cell r="L50">
            <v>900</v>
          </cell>
          <cell r="M50">
            <v>0</v>
          </cell>
          <cell r="N50">
            <v>73950</v>
          </cell>
        </row>
        <row r="51">
          <cell r="A51" t="str">
            <v>304010 - Superannuation</v>
          </cell>
          <cell r="B51">
            <v>1026.151601</v>
          </cell>
          <cell r="C51">
            <v>1749.66623155</v>
          </cell>
          <cell r="D51">
            <v>3308.5242306274999</v>
          </cell>
          <cell r="E51">
            <v>2810.4634797050003</v>
          </cell>
          <cell r="F51">
            <v>3281.9634797050003</v>
          </cell>
          <cell r="G51">
            <v>1894.0242306274999</v>
          </cell>
          <cell r="H51">
            <v>2293.1033479349999</v>
          </cell>
          <cell r="I51">
            <v>3362.7421872449995</v>
          </cell>
          <cell r="J51">
            <v>2821.7727675899996</v>
          </cell>
          <cell r="K51">
            <v>3375.503347935</v>
          </cell>
          <cell r="L51">
            <v>1837.3116069</v>
          </cell>
          <cell r="M51">
            <v>1381.28928552</v>
          </cell>
          <cell r="N51">
            <v>29142.515796339998</v>
          </cell>
        </row>
        <row r="52">
          <cell r="A52" t="str">
            <v>304013 - Workers Compensation Insurance</v>
          </cell>
          <cell r="B52">
            <v>84.769045300000002</v>
          </cell>
          <cell r="C52">
            <v>144.537645215</v>
          </cell>
          <cell r="D52">
            <v>273.31287122574997</v>
          </cell>
          <cell r="E52">
            <v>232.1687222365</v>
          </cell>
          <cell r="F52">
            <v>271.11872223649999</v>
          </cell>
          <cell r="G52">
            <v>156.46287122574998</v>
          </cell>
          <cell r="H52">
            <v>181.53734837818749</v>
          </cell>
          <cell r="I52">
            <v>266.2170898235625</v>
          </cell>
          <cell r="J52">
            <v>223.39034410087498</v>
          </cell>
          <cell r="K52">
            <v>267.22734837818751</v>
          </cell>
          <cell r="L52">
            <v>145.45383554624999</v>
          </cell>
          <cell r="M52">
            <v>109.352068437</v>
          </cell>
          <cell r="N52">
            <v>2355.5479121035623</v>
          </cell>
        </row>
        <row r="53">
          <cell r="A53" t="str">
            <v>304016 - Annual Leave Provision</v>
          </cell>
          <cell r="B53">
            <v>723.05740000000014</v>
          </cell>
          <cell r="C53">
            <v>1120.7389700000001</v>
          </cell>
          <cell r="D53">
            <v>1176.7759185</v>
          </cell>
          <cell r="E53">
            <v>1232.8128670000001</v>
          </cell>
          <cell r="F53">
            <v>1232.8128670000001</v>
          </cell>
          <cell r="G53">
            <v>1176.7759185</v>
          </cell>
          <cell r="H53">
            <v>1340.8195661250002</v>
          </cell>
          <cell r="I53">
            <v>1224.226560375</v>
          </cell>
          <cell r="J53">
            <v>1282.5230632500002</v>
          </cell>
          <cell r="K53">
            <v>1340.8195661250002</v>
          </cell>
          <cell r="L53">
            <v>1165.9300575000002</v>
          </cell>
          <cell r="M53">
            <v>932.74404600000014</v>
          </cell>
          <cell r="N53">
            <v>13950.036800374999</v>
          </cell>
        </row>
        <row r="54">
          <cell r="A54" t="str">
            <v>304019 - Long Service Leave Provision</v>
          </cell>
          <cell r="B54">
            <v>200</v>
          </cell>
          <cell r="C54">
            <v>343.75</v>
          </cell>
          <cell r="D54">
            <v>673</v>
          </cell>
          <cell r="E54">
            <v>566</v>
          </cell>
          <cell r="F54">
            <v>666</v>
          </cell>
          <cell r="G54">
            <v>373</v>
          </cell>
          <cell r="H54">
            <v>433.375</v>
          </cell>
          <cell r="I54">
            <v>653.625</v>
          </cell>
          <cell r="J54">
            <v>542.25</v>
          </cell>
          <cell r="K54">
            <v>653.375</v>
          </cell>
          <cell r="L54">
            <v>345</v>
          </cell>
          <cell r="M54">
            <v>258</v>
          </cell>
          <cell r="N54">
            <v>5707.375</v>
          </cell>
        </row>
        <row r="55">
          <cell r="A55" t="str">
            <v>Total - EMPLOYEE BENEFITS EXPENSE - EMPLOYEE BENEFITS EXPENSE</v>
          </cell>
          <cell r="B55">
            <v>10033.978046299999</v>
          </cell>
          <cell r="C55">
            <v>17108.692846765</v>
          </cell>
          <cell r="D55">
            <v>32351.613020353248</v>
          </cell>
          <cell r="E55">
            <v>27481.445068941503</v>
          </cell>
          <cell r="F55">
            <v>32091.895068941503</v>
          </cell>
          <cell r="G55">
            <v>18520.26302035325</v>
          </cell>
          <cell r="H55">
            <v>21583.835262438188</v>
          </cell>
          <cell r="I55">
            <v>31651.810837443561</v>
          </cell>
          <cell r="J55">
            <v>26559.936174940871</v>
          </cell>
          <cell r="K55">
            <v>31771.925262438184</v>
          </cell>
          <cell r="L55">
            <v>17293.69549994625</v>
          </cell>
          <cell r="M55">
            <v>13001.385399957</v>
          </cell>
          <cell r="N55">
            <v>279450.47550881858</v>
          </cell>
        </row>
        <row r="56">
          <cell r="A56" t="str">
            <v>Total - Expenses</v>
          </cell>
          <cell r="B56">
            <v>16300.9380463</v>
          </cell>
          <cell r="C56">
            <v>22525.652846764999</v>
          </cell>
          <cell r="D56">
            <v>37968.573020353251</v>
          </cell>
          <cell r="E56">
            <v>33048.405068941502</v>
          </cell>
          <cell r="F56">
            <v>37758.855068941506</v>
          </cell>
          <cell r="G56">
            <v>24037.223020353253</v>
          </cell>
          <cell r="H56">
            <v>27100.795262438187</v>
          </cell>
          <cell r="I56">
            <v>37318.770837443561</v>
          </cell>
          <cell r="J56">
            <v>32226.89617494087</v>
          </cell>
          <cell r="K56">
            <v>37438.885262438183</v>
          </cell>
          <cell r="L56">
            <v>22710.655499946253</v>
          </cell>
          <cell r="M56">
            <v>18418.345399957001</v>
          </cell>
          <cell r="N56">
            <v>347033.9955088186</v>
          </cell>
        </row>
        <row r="57">
          <cell r="A57" t="str">
            <v>Operating Profit</v>
          </cell>
          <cell r="B57">
            <v>-3978.9380462999998</v>
          </cell>
          <cell r="C57">
            <v>776.34715323500131</v>
          </cell>
          <cell r="D57">
            <v>18029.426979646749</v>
          </cell>
          <cell r="E57">
            <v>13799.594931058498</v>
          </cell>
          <cell r="F57">
            <v>17476.644931058494</v>
          </cell>
          <cell r="G57">
            <v>5059.7769796467473</v>
          </cell>
          <cell r="H57">
            <v>3856.7047375618131</v>
          </cell>
          <cell r="I57">
            <v>16879.729162556439</v>
          </cell>
          <cell r="J57">
            <v>13279.10382505913</v>
          </cell>
          <cell r="K57">
            <v>16729.114737561817</v>
          </cell>
          <cell r="L57">
            <v>2085.8445000537467</v>
          </cell>
          <cell r="M57">
            <v>-4479.8453999570011</v>
          </cell>
          <cell r="N57">
            <v>99333.504491181404</v>
          </cell>
        </row>
        <row r="58">
          <cell r="A58" t="str">
            <v>Net Profit/(Loss)</v>
          </cell>
          <cell r="B58">
            <v>-3978.9380462999998</v>
          </cell>
          <cell r="C58">
            <v>776.34715323500131</v>
          </cell>
          <cell r="D58">
            <v>18029.426979646749</v>
          </cell>
          <cell r="E58">
            <v>13799.594931058498</v>
          </cell>
          <cell r="F58">
            <v>17476.644931058494</v>
          </cell>
          <cell r="G58">
            <v>5059.7769796467473</v>
          </cell>
          <cell r="H58">
            <v>3856.7047375618131</v>
          </cell>
          <cell r="I58">
            <v>16879.729162556439</v>
          </cell>
          <cell r="J58">
            <v>13279.10382505913</v>
          </cell>
          <cell r="K58">
            <v>16729.114737561817</v>
          </cell>
          <cell r="L58">
            <v>2085.8445000537467</v>
          </cell>
          <cell r="M58">
            <v>-4479.8453999570011</v>
          </cell>
          <cell r="N58">
            <v>99333.504491181404</v>
          </cell>
          <cell r="O58" t="str">
            <v>goal $100/110k</v>
          </cell>
        </row>
      </sheetData>
      <sheetData sheetId="5">
        <row r="1">
          <cell r="A1" t="str">
            <v>Guild of Undergraduates</v>
          </cell>
        </row>
        <row r="2">
          <cell r="A2" t="str">
            <v>Budget 2025</v>
          </cell>
        </row>
        <row r="3">
          <cell r="A3" t="str">
            <v>DENTISTRY Kiosk</v>
          </cell>
        </row>
        <row r="4">
          <cell r="A4" t="str">
            <v/>
          </cell>
        </row>
        <row r="5">
          <cell r="A5" t="str">
            <v>Financial Row</v>
          </cell>
          <cell r="B5">
            <v>45658</v>
          </cell>
          <cell r="C5">
            <v>45689</v>
          </cell>
          <cell r="D5">
            <v>45717</v>
          </cell>
          <cell r="E5">
            <v>45748</v>
          </cell>
          <cell r="F5">
            <v>45778</v>
          </cell>
          <cell r="G5">
            <v>45809</v>
          </cell>
          <cell r="H5">
            <v>45839</v>
          </cell>
          <cell r="I5">
            <v>45870</v>
          </cell>
          <cell r="J5">
            <v>45901</v>
          </cell>
          <cell r="K5">
            <v>45931</v>
          </cell>
          <cell r="L5">
            <v>45962</v>
          </cell>
          <cell r="M5">
            <v>45992</v>
          </cell>
          <cell r="N5" t="str">
            <v>Total</v>
          </cell>
        </row>
        <row r="6">
          <cell r="A6" t="str">
            <v>Income</v>
          </cell>
        </row>
        <row r="7">
          <cell r="A7" t="str">
            <v>SALES OF GOODS - SALES OF GOODS</v>
          </cell>
        </row>
        <row r="8">
          <cell r="A8" t="str">
            <v>101001 - Sales - Catering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101005 - Sales - End of Day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101050 - Under/Overs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Total - SALES OF GOODS - SALES OF GOODS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SALES CATERING DISCOUNT - SALES CATERING DISCOUNT</v>
          </cell>
        </row>
        <row r="13">
          <cell r="A13" t="str">
            <v>102000 - Guild Member Discount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102003 - Other Promotional Discounts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 t="str">
            <v>2019 actual $261 896</v>
          </cell>
        </row>
        <row r="15">
          <cell r="A15" t="str">
            <v>Total - SALES CATERING DISCOUNT - SALES CATERING DISCOUNT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 t="str">
            <v>2023 actual $284 065</v>
          </cell>
        </row>
        <row r="16">
          <cell r="A16" t="str">
            <v>Total - Income</v>
          </cell>
          <cell r="B16">
            <v>13200</v>
          </cell>
          <cell r="C16">
            <v>23100</v>
          </cell>
          <cell r="D16">
            <v>32350</v>
          </cell>
          <cell r="E16">
            <v>28500</v>
          </cell>
          <cell r="F16">
            <v>33200</v>
          </cell>
          <cell r="G16">
            <v>21350</v>
          </cell>
          <cell r="H16">
            <v>30150</v>
          </cell>
          <cell r="I16">
            <v>32900</v>
          </cell>
          <cell r="J16">
            <v>34500</v>
          </cell>
          <cell r="K16">
            <v>31100</v>
          </cell>
          <cell r="L16">
            <v>17200</v>
          </cell>
          <cell r="M16">
            <v>8400</v>
          </cell>
          <cell r="N16">
            <v>305950</v>
          </cell>
          <cell r="O16" t="str">
            <v>2024 actual Jan - Sept $243 814</v>
          </cell>
        </row>
        <row r="17">
          <cell r="A17" t="str">
            <v>Cost Of Sales</v>
          </cell>
          <cell r="B17">
            <v>0.39</v>
          </cell>
          <cell r="C17">
            <v>0.39</v>
          </cell>
          <cell r="D17">
            <v>0.39</v>
          </cell>
          <cell r="E17">
            <v>0.39</v>
          </cell>
          <cell r="F17">
            <v>0.39</v>
          </cell>
          <cell r="G17">
            <v>0.39</v>
          </cell>
          <cell r="H17">
            <v>0.39</v>
          </cell>
          <cell r="I17">
            <v>0.39</v>
          </cell>
          <cell r="J17">
            <v>0.39</v>
          </cell>
          <cell r="K17">
            <v>0.39</v>
          </cell>
          <cell r="L17">
            <v>0.39</v>
          </cell>
          <cell r="M17">
            <v>0.39</v>
          </cell>
          <cell r="N17">
            <v>0.39</v>
          </cell>
          <cell r="O17" t="str">
            <v>are we including or excluding wages in MK transfers?</v>
          </cell>
        </row>
        <row r="18">
          <cell r="A18" t="str">
            <v>201070 - Cost of Goods Sold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201075 - FREIGHT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201600 - Inter Department Transfers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Total - Cost Of Sales</v>
          </cell>
          <cell r="B21">
            <v>5148</v>
          </cell>
          <cell r="C21">
            <v>9009</v>
          </cell>
          <cell r="D21">
            <v>12616.5</v>
          </cell>
          <cell r="E21">
            <v>11115</v>
          </cell>
          <cell r="F21">
            <v>12948</v>
          </cell>
          <cell r="G21">
            <v>8326.5</v>
          </cell>
          <cell r="H21">
            <v>11758.5</v>
          </cell>
          <cell r="I21">
            <v>12831</v>
          </cell>
          <cell r="J21">
            <v>13455</v>
          </cell>
          <cell r="K21">
            <v>12129</v>
          </cell>
          <cell r="L21">
            <v>6708</v>
          </cell>
          <cell r="M21">
            <v>3276</v>
          </cell>
          <cell r="N21">
            <v>119320.5</v>
          </cell>
        </row>
        <row r="22">
          <cell r="A22" t="str">
            <v>Gross Profit</v>
          </cell>
          <cell r="B22">
            <v>8052</v>
          </cell>
          <cell r="C22">
            <v>14091</v>
          </cell>
          <cell r="D22">
            <v>19733.5</v>
          </cell>
          <cell r="E22">
            <v>17385</v>
          </cell>
          <cell r="F22">
            <v>20252</v>
          </cell>
          <cell r="G22">
            <v>13023.5</v>
          </cell>
          <cell r="H22">
            <v>18391.5</v>
          </cell>
          <cell r="I22">
            <v>20069</v>
          </cell>
          <cell r="J22">
            <v>21045</v>
          </cell>
          <cell r="K22">
            <v>18971</v>
          </cell>
          <cell r="L22">
            <v>10492</v>
          </cell>
          <cell r="M22">
            <v>5124</v>
          </cell>
          <cell r="N22">
            <v>186629.5</v>
          </cell>
        </row>
        <row r="23">
          <cell r="A23" t="str">
            <v>Expenses</v>
          </cell>
        </row>
        <row r="24">
          <cell r="A24" t="str">
            <v>ADMINISTRATIVE EXPENSES - ADMINISTRATIVE EXPENSES</v>
          </cell>
        </row>
        <row r="25">
          <cell r="A25" t="str">
            <v>305083 - Advertising &amp; Promotion</v>
          </cell>
          <cell r="B25">
            <v>10</v>
          </cell>
          <cell r="C25">
            <v>10</v>
          </cell>
          <cell r="D25">
            <v>10</v>
          </cell>
          <cell r="E25">
            <v>10</v>
          </cell>
          <cell r="F25">
            <v>10</v>
          </cell>
          <cell r="G25">
            <v>10</v>
          </cell>
          <cell r="H25">
            <v>10</v>
          </cell>
          <cell r="I25">
            <v>10</v>
          </cell>
          <cell r="J25">
            <v>10</v>
          </cell>
          <cell r="K25">
            <v>10</v>
          </cell>
          <cell r="L25">
            <v>10</v>
          </cell>
          <cell r="M25">
            <v>10</v>
          </cell>
          <cell r="N25">
            <v>120</v>
          </cell>
        </row>
        <row r="26">
          <cell r="A26" t="str">
            <v>305108 - Cleaning Contract</v>
          </cell>
          <cell r="B26">
            <v>100</v>
          </cell>
          <cell r="C26">
            <v>100</v>
          </cell>
          <cell r="D26">
            <v>100</v>
          </cell>
          <cell r="E26">
            <v>100</v>
          </cell>
          <cell r="F26">
            <v>100</v>
          </cell>
          <cell r="G26">
            <v>100</v>
          </cell>
          <cell r="H26">
            <v>100</v>
          </cell>
          <cell r="I26">
            <v>100</v>
          </cell>
          <cell r="J26">
            <v>100</v>
          </cell>
          <cell r="K26">
            <v>100</v>
          </cell>
          <cell r="L26">
            <v>100</v>
          </cell>
          <cell r="M26">
            <v>100</v>
          </cell>
          <cell r="N26">
            <v>1200</v>
          </cell>
          <cell r="O26" t="str">
            <v>Jaymak $589x2</v>
          </cell>
        </row>
        <row r="27">
          <cell r="A27" t="str">
            <v>305109 - Cleaning Consumables</v>
          </cell>
          <cell r="B27">
            <v>20</v>
          </cell>
          <cell r="C27">
            <v>20</v>
          </cell>
          <cell r="D27">
            <v>20</v>
          </cell>
          <cell r="E27">
            <v>20</v>
          </cell>
          <cell r="F27">
            <v>20</v>
          </cell>
          <cell r="G27">
            <v>20</v>
          </cell>
          <cell r="H27">
            <v>20</v>
          </cell>
          <cell r="I27">
            <v>20</v>
          </cell>
          <cell r="J27">
            <v>20</v>
          </cell>
          <cell r="K27">
            <v>20</v>
          </cell>
          <cell r="L27">
            <v>20</v>
          </cell>
          <cell r="M27">
            <v>20</v>
          </cell>
          <cell r="N27">
            <v>240</v>
          </cell>
        </row>
        <row r="28">
          <cell r="A28" t="str">
            <v>305111 - Communication Expenses</v>
          </cell>
          <cell r="B28">
            <v>20</v>
          </cell>
          <cell r="C28">
            <v>20</v>
          </cell>
          <cell r="D28">
            <v>20</v>
          </cell>
          <cell r="E28">
            <v>20</v>
          </cell>
          <cell r="F28">
            <v>20</v>
          </cell>
          <cell r="G28">
            <v>20</v>
          </cell>
          <cell r="H28">
            <v>20</v>
          </cell>
          <cell r="I28">
            <v>20</v>
          </cell>
          <cell r="J28">
            <v>20</v>
          </cell>
          <cell r="K28">
            <v>20</v>
          </cell>
          <cell r="L28">
            <v>20</v>
          </cell>
          <cell r="M28">
            <v>20</v>
          </cell>
          <cell r="N28">
            <v>240</v>
          </cell>
          <cell r="O28" t="str">
            <v>Mutya</v>
          </cell>
        </row>
        <row r="29">
          <cell r="A29" t="str">
            <v>305112 - Paper Products &amp; Packaging</v>
          </cell>
          <cell r="B29">
            <v>660</v>
          </cell>
          <cell r="C29">
            <v>660</v>
          </cell>
          <cell r="D29">
            <v>660</v>
          </cell>
          <cell r="E29">
            <v>660</v>
          </cell>
          <cell r="F29">
            <v>660</v>
          </cell>
          <cell r="G29">
            <v>660</v>
          </cell>
          <cell r="H29">
            <v>660</v>
          </cell>
          <cell r="I29">
            <v>660</v>
          </cell>
          <cell r="J29">
            <v>660</v>
          </cell>
          <cell r="K29">
            <v>660</v>
          </cell>
          <cell r="L29">
            <v>660</v>
          </cell>
          <cell r="M29">
            <v>660</v>
          </cell>
          <cell r="N29">
            <v>7920</v>
          </cell>
        </row>
        <row r="30">
          <cell r="A30" t="str">
            <v>305114 - Computer Expenses</v>
          </cell>
          <cell r="B30">
            <v>1000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1000</v>
          </cell>
          <cell r="O30" t="str">
            <v>Mutya</v>
          </cell>
        </row>
        <row r="31">
          <cell r="A31" t="str">
            <v>305132 - Utilities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 t="str">
            <v>Mutya</v>
          </cell>
        </row>
        <row r="32">
          <cell r="A32" t="str">
            <v>305147 - General Expenses</v>
          </cell>
          <cell r="B32">
            <v>20</v>
          </cell>
          <cell r="C32">
            <v>20</v>
          </cell>
          <cell r="D32">
            <v>20</v>
          </cell>
          <cell r="E32">
            <v>20</v>
          </cell>
          <cell r="F32">
            <v>20</v>
          </cell>
          <cell r="G32">
            <v>20</v>
          </cell>
          <cell r="H32">
            <v>20</v>
          </cell>
          <cell r="I32">
            <v>20</v>
          </cell>
          <cell r="J32">
            <v>20</v>
          </cell>
          <cell r="K32">
            <v>20</v>
          </cell>
          <cell r="L32">
            <v>20</v>
          </cell>
          <cell r="M32">
            <v>20</v>
          </cell>
          <cell r="N32">
            <v>240</v>
          </cell>
          <cell r="O32" t="str">
            <v>LY $180/ YTD $45</v>
          </cell>
        </row>
        <row r="33">
          <cell r="A33" t="str">
            <v>305156 - Laundry</v>
          </cell>
          <cell r="B33">
            <v>65</v>
          </cell>
          <cell r="C33">
            <v>65</v>
          </cell>
          <cell r="D33">
            <v>65</v>
          </cell>
          <cell r="E33">
            <v>65</v>
          </cell>
          <cell r="F33">
            <v>65</v>
          </cell>
          <cell r="G33">
            <v>65</v>
          </cell>
          <cell r="H33">
            <v>65</v>
          </cell>
          <cell r="I33">
            <v>65</v>
          </cell>
          <cell r="J33">
            <v>65</v>
          </cell>
          <cell r="K33">
            <v>65</v>
          </cell>
          <cell r="L33">
            <v>65</v>
          </cell>
          <cell r="M33">
            <v>65</v>
          </cell>
          <cell r="N33">
            <v>780</v>
          </cell>
        </row>
        <row r="34">
          <cell r="A34" t="str">
            <v>305162 - Licence &amp; Permits</v>
          </cell>
          <cell r="B34">
            <v>44</v>
          </cell>
          <cell r="C34">
            <v>44</v>
          </cell>
          <cell r="D34">
            <v>44</v>
          </cell>
          <cell r="E34">
            <v>44</v>
          </cell>
          <cell r="F34">
            <v>44</v>
          </cell>
          <cell r="G34">
            <v>44</v>
          </cell>
          <cell r="H34">
            <v>44</v>
          </cell>
          <cell r="I34">
            <v>44</v>
          </cell>
          <cell r="J34">
            <v>44</v>
          </cell>
          <cell r="K34">
            <v>44</v>
          </cell>
          <cell r="L34">
            <v>44</v>
          </cell>
          <cell r="M34">
            <v>44</v>
          </cell>
          <cell r="N34">
            <v>528</v>
          </cell>
          <cell r="O34" t="str">
            <v>City of Perth $260 x 2 = $520</v>
          </cell>
        </row>
        <row r="35">
          <cell r="A35" t="str">
            <v>305168 - Occupational  Health &amp; Safety</v>
          </cell>
          <cell r="B35">
            <v>13</v>
          </cell>
          <cell r="C35">
            <v>13</v>
          </cell>
          <cell r="D35">
            <v>13</v>
          </cell>
          <cell r="E35">
            <v>13</v>
          </cell>
          <cell r="F35">
            <v>13</v>
          </cell>
          <cell r="G35">
            <v>13</v>
          </cell>
          <cell r="H35">
            <v>13</v>
          </cell>
          <cell r="I35">
            <v>13</v>
          </cell>
          <cell r="J35">
            <v>13</v>
          </cell>
          <cell r="K35">
            <v>13</v>
          </cell>
          <cell r="L35">
            <v>13</v>
          </cell>
          <cell r="M35">
            <v>13</v>
          </cell>
          <cell r="N35">
            <v>156</v>
          </cell>
          <cell r="O35" t="str">
            <v>First Aid Kit $76 x2</v>
          </cell>
        </row>
        <row r="36">
          <cell r="A36" t="str">
            <v>305180 - Printing &amp; Stationery</v>
          </cell>
          <cell r="B36">
            <v>17</v>
          </cell>
          <cell r="C36">
            <v>17</v>
          </cell>
          <cell r="D36">
            <v>17</v>
          </cell>
          <cell r="E36">
            <v>17</v>
          </cell>
          <cell r="F36">
            <v>17</v>
          </cell>
          <cell r="G36">
            <v>17</v>
          </cell>
          <cell r="H36">
            <v>17</v>
          </cell>
          <cell r="I36">
            <v>17</v>
          </cell>
          <cell r="J36">
            <v>17</v>
          </cell>
          <cell r="K36">
            <v>17</v>
          </cell>
          <cell r="L36">
            <v>17</v>
          </cell>
          <cell r="M36">
            <v>17</v>
          </cell>
          <cell r="N36">
            <v>204</v>
          </cell>
        </row>
        <row r="37">
          <cell r="A37" t="str">
            <v>305185 - Minor Assets</v>
          </cell>
          <cell r="B37">
            <v>20</v>
          </cell>
          <cell r="C37">
            <v>20</v>
          </cell>
          <cell r="D37">
            <v>20</v>
          </cell>
          <cell r="E37">
            <v>20</v>
          </cell>
          <cell r="F37">
            <v>20</v>
          </cell>
          <cell r="G37">
            <v>20</v>
          </cell>
          <cell r="H37">
            <v>20</v>
          </cell>
          <cell r="I37">
            <v>20</v>
          </cell>
          <cell r="J37">
            <v>20</v>
          </cell>
          <cell r="K37">
            <v>20</v>
          </cell>
          <cell r="L37">
            <v>20</v>
          </cell>
          <cell r="M37">
            <v>20</v>
          </cell>
          <cell r="N37">
            <v>240</v>
          </cell>
        </row>
        <row r="38">
          <cell r="A38" t="str">
            <v>305187 - Software Digital</v>
          </cell>
          <cell r="B38">
            <v>200</v>
          </cell>
          <cell r="C38">
            <v>200</v>
          </cell>
          <cell r="D38">
            <v>200</v>
          </cell>
          <cell r="E38">
            <v>200</v>
          </cell>
          <cell r="F38">
            <v>200</v>
          </cell>
          <cell r="G38">
            <v>200</v>
          </cell>
          <cell r="H38">
            <v>200</v>
          </cell>
          <cell r="I38">
            <v>200</v>
          </cell>
          <cell r="J38">
            <v>200</v>
          </cell>
          <cell r="K38">
            <v>200</v>
          </cell>
          <cell r="L38">
            <v>200</v>
          </cell>
          <cell r="M38">
            <v>200</v>
          </cell>
          <cell r="N38">
            <v>2400</v>
          </cell>
          <cell r="O38" t="str">
            <v>Mutya</v>
          </cell>
        </row>
        <row r="39">
          <cell r="A39" t="str">
            <v>305189 - Repairs &amp; Maintenance</v>
          </cell>
          <cell r="B39">
            <v>320</v>
          </cell>
          <cell r="C39">
            <v>320</v>
          </cell>
          <cell r="D39">
            <v>320</v>
          </cell>
          <cell r="E39">
            <v>320</v>
          </cell>
          <cell r="F39">
            <v>320</v>
          </cell>
          <cell r="G39">
            <v>320</v>
          </cell>
          <cell r="H39">
            <v>320</v>
          </cell>
          <cell r="I39">
            <v>320</v>
          </cell>
          <cell r="J39">
            <v>320</v>
          </cell>
          <cell r="K39">
            <v>320</v>
          </cell>
          <cell r="L39">
            <v>320</v>
          </cell>
          <cell r="M39">
            <v>320</v>
          </cell>
          <cell r="N39">
            <v>3840</v>
          </cell>
          <cell r="O39" t="str">
            <v>*look at age and condition of current equipment</v>
          </cell>
        </row>
        <row r="40">
          <cell r="A40" t="str">
            <v>305197 - Replacement of Glass/Cutlery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A41" t="str">
            <v>305225 - Uniforms</v>
          </cell>
          <cell r="B41">
            <v>10</v>
          </cell>
          <cell r="C41">
            <v>10</v>
          </cell>
          <cell r="D41">
            <v>10</v>
          </cell>
          <cell r="E41">
            <v>10</v>
          </cell>
          <cell r="F41">
            <v>10</v>
          </cell>
          <cell r="G41">
            <v>10</v>
          </cell>
          <cell r="H41">
            <v>10</v>
          </cell>
          <cell r="I41">
            <v>10</v>
          </cell>
          <cell r="J41">
            <v>10</v>
          </cell>
          <cell r="K41">
            <v>10</v>
          </cell>
          <cell r="L41">
            <v>10</v>
          </cell>
          <cell r="M41">
            <v>10</v>
          </cell>
          <cell r="N41">
            <v>120</v>
          </cell>
        </row>
        <row r="42">
          <cell r="A42" t="str">
            <v>305228 - Waste Control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 t="str">
            <v>Cleanaway</v>
          </cell>
        </row>
        <row r="43">
          <cell r="A43" t="str">
            <v>306005 - Depreciation - Property</v>
          </cell>
          <cell r="B43">
            <v>18.670000000000002</v>
          </cell>
          <cell r="C43">
            <v>18.670000000000002</v>
          </cell>
          <cell r="D43">
            <v>18.670000000000002</v>
          </cell>
          <cell r="E43">
            <v>18.670000000000002</v>
          </cell>
          <cell r="F43">
            <v>18.670000000000002</v>
          </cell>
          <cell r="G43">
            <v>18.670000000000002</v>
          </cell>
          <cell r="H43">
            <v>18.670000000000002</v>
          </cell>
          <cell r="I43">
            <v>18.670000000000002</v>
          </cell>
          <cell r="J43">
            <v>18.670000000000002</v>
          </cell>
          <cell r="K43">
            <v>18.670000000000002</v>
          </cell>
          <cell r="L43">
            <v>18.670000000000002</v>
          </cell>
          <cell r="M43">
            <v>18.670000000000002</v>
          </cell>
          <cell r="N43">
            <v>224.04000000000008</v>
          </cell>
          <cell r="O43" t="str">
            <v>Mutya</v>
          </cell>
        </row>
        <row r="44">
          <cell r="A44" t="str">
            <v>305102 - Bank Charges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 t="str">
            <v>Mutya</v>
          </cell>
          <cell r="P44" t="str">
            <v>please complete</v>
          </cell>
        </row>
        <row r="45">
          <cell r="A45" t="str">
            <v>Total - ADMINISTRATIVE EXPENSES - ADMINISTRATIVE EXPENSES</v>
          </cell>
          <cell r="B45">
            <v>2527.67</v>
          </cell>
          <cell r="C45">
            <v>1527.67</v>
          </cell>
          <cell r="D45">
            <v>1527.67</v>
          </cell>
          <cell r="E45">
            <v>1527.67</v>
          </cell>
          <cell r="F45">
            <v>1527.67</v>
          </cell>
          <cell r="G45">
            <v>1527.67</v>
          </cell>
          <cell r="H45">
            <v>1527.67</v>
          </cell>
          <cell r="I45">
            <v>1527.67</v>
          </cell>
          <cell r="J45">
            <v>1527.67</v>
          </cell>
          <cell r="K45">
            <v>1527.67</v>
          </cell>
          <cell r="L45">
            <v>1527.67</v>
          </cell>
          <cell r="M45">
            <v>1527.67</v>
          </cell>
          <cell r="N45">
            <v>19452.04</v>
          </cell>
        </row>
        <row r="46">
          <cell r="A46" t="str">
            <v>EMPLOYEE BENEFITS EXPENSE - EMPLOYEE BENEFITS EXPENSE</v>
          </cell>
          <cell r="B46">
            <v>0.40151515151515149</v>
          </cell>
          <cell r="C46">
            <v>0.33766233766233766</v>
          </cell>
          <cell r="D46">
            <v>0.29897990726429674</v>
          </cell>
          <cell r="E46">
            <v>0.33347368421052631</v>
          </cell>
          <cell r="F46">
            <v>0.29228915662650601</v>
          </cell>
          <cell r="G46">
            <v>0.42491803278688522</v>
          </cell>
          <cell r="H46">
            <v>0.34328358208955223</v>
          </cell>
          <cell r="I46">
            <v>0.28723404255319152</v>
          </cell>
          <cell r="J46">
            <v>0.28695652173913044</v>
          </cell>
          <cell r="K46">
            <v>0.33279742765273312</v>
          </cell>
          <cell r="L46">
            <v>0.37790697674418605</v>
          </cell>
          <cell r="M46">
            <v>0.59523809523809523</v>
          </cell>
          <cell r="N46">
            <v>0.33535545023696683</v>
          </cell>
        </row>
        <row r="47">
          <cell r="A47" t="str">
            <v>304001 - Salaries &amp; Wages - Permanent Staff</v>
          </cell>
          <cell r="B47">
            <v>5000</v>
          </cell>
          <cell r="C47">
            <v>7000</v>
          </cell>
          <cell r="D47">
            <v>9072</v>
          </cell>
          <cell r="E47">
            <v>9504</v>
          </cell>
          <cell r="F47">
            <v>9504</v>
          </cell>
          <cell r="G47">
            <v>9072</v>
          </cell>
          <cell r="H47">
            <v>10350</v>
          </cell>
          <cell r="I47">
            <v>9450</v>
          </cell>
          <cell r="J47">
            <v>9900</v>
          </cell>
          <cell r="K47">
            <v>10350</v>
          </cell>
          <cell r="L47">
            <v>6500</v>
          </cell>
          <cell r="M47">
            <v>5000</v>
          </cell>
          <cell r="N47">
            <v>100702</v>
          </cell>
        </row>
        <row r="48">
          <cell r="A48" t="str">
            <v>304004 - Salaries &amp; Wages - Other</v>
          </cell>
          <cell r="B48">
            <v>300</v>
          </cell>
          <cell r="C48">
            <v>800</v>
          </cell>
          <cell r="D48">
            <v>600</v>
          </cell>
          <cell r="E48">
            <v>0</v>
          </cell>
          <cell r="F48">
            <v>200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1900</v>
          </cell>
        </row>
        <row r="49">
          <cell r="A49" t="str">
            <v>304010 - Superannuation</v>
          </cell>
          <cell r="B49">
            <v>676.70725062500003</v>
          </cell>
          <cell r="C49">
            <v>992.18265087500015</v>
          </cell>
          <cell r="D49">
            <v>1234.3809155339998</v>
          </cell>
          <cell r="E49">
            <v>1219.0681019880003</v>
          </cell>
          <cell r="F49">
            <v>1242.6431019880001</v>
          </cell>
          <cell r="G49">
            <v>1163.6559155339999</v>
          </cell>
          <cell r="H49">
            <v>1385.3046613500001</v>
          </cell>
          <cell r="I49">
            <v>1264.84338645</v>
          </cell>
          <cell r="J49">
            <v>1325.0740238999999</v>
          </cell>
          <cell r="K49">
            <v>1385.3046613500001</v>
          </cell>
          <cell r="L49">
            <v>869.99809649999997</v>
          </cell>
          <cell r="M49">
            <v>669.22930499999995</v>
          </cell>
          <cell r="N49">
            <v>13428.392071094</v>
          </cell>
        </row>
        <row r="50">
          <cell r="A50" t="str">
            <v>304013 - Workers Compensation Insurance</v>
          </cell>
          <cell r="B50">
            <v>55.901903312499996</v>
          </cell>
          <cell r="C50">
            <v>81.962914637500006</v>
          </cell>
          <cell r="D50">
            <v>101.97059737019998</v>
          </cell>
          <cell r="E50">
            <v>100.70562581640002</v>
          </cell>
          <cell r="F50">
            <v>102.65312581640001</v>
          </cell>
          <cell r="G50">
            <v>96.128097370199981</v>
          </cell>
          <cell r="H50">
            <v>109.669952356875</v>
          </cell>
          <cell r="I50">
            <v>100.13343476062501</v>
          </cell>
          <cell r="J50">
            <v>104.90169355875</v>
          </cell>
          <cell r="K50">
            <v>109.669952356875</v>
          </cell>
          <cell r="L50">
            <v>68.874849306249999</v>
          </cell>
          <cell r="M50">
            <v>52.980653312499996</v>
          </cell>
          <cell r="N50">
            <v>1085.552799975075</v>
          </cell>
        </row>
        <row r="51">
          <cell r="A51" t="str">
            <v>304016 - Annual Leave Provision</v>
          </cell>
          <cell r="B51">
            <v>451.91087500000003</v>
          </cell>
          <cell r="C51">
            <v>632.67522500000007</v>
          </cell>
          <cell r="D51">
            <v>819.94709160000002</v>
          </cell>
          <cell r="E51">
            <v>858.99219120000009</v>
          </cell>
          <cell r="F51">
            <v>858.99219120000009</v>
          </cell>
          <cell r="G51">
            <v>819.94709160000002</v>
          </cell>
          <cell r="H51">
            <v>935.45551125000009</v>
          </cell>
          <cell r="I51">
            <v>854.1115537500001</v>
          </cell>
          <cell r="J51">
            <v>894.78353250000009</v>
          </cell>
          <cell r="K51">
            <v>935.45551125000009</v>
          </cell>
          <cell r="L51">
            <v>587.48413750000009</v>
          </cell>
          <cell r="M51">
            <v>451.91087500000003</v>
          </cell>
          <cell r="N51">
            <v>9101.6657868500006</v>
          </cell>
        </row>
        <row r="52">
          <cell r="A52" t="str">
            <v>304019 - Long Service Leave Provision</v>
          </cell>
          <cell r="B52">
            <v>132.5</v>
          </cell>
          <cell r="C52">
            <v>195</v>
          </cell>
          <cell r="D52">
            <v>241.8</v>
          </cell>
          <cell r="E52">
            <v>237.60000000000002</v>
          </cell>
          <cell r="F52">
            <v>242.60000000000002</v>
          </cell>
          <cell r="G52">
            <v>226.8</v>
          </cell>
          <cell r="H52">
            <v>258.75</v>
          </cell>
          <cell r="I52">
            <v>236.25</v>
          </cell>
          <cell r="J52">
            <v>247.5</v>
          </cell>
          <cell r="K52">
            <v>258.75</v>
          </cell>
          <cell r="L52">
            <v>162.5</v>
          </cell>
          <cell r="M52">
            <v>125</v>
          </cell>
          <cell r="N52">
            <v>2565.0500000000002</v>
          </cell>
        </row>
        <row r="53">
          <cell r="A53" t="str">
            <v>Total - EMPLOYEE BENEFITS EXPENSE - EMPLOYEE BENEFITS EXPENSE</v>
          </cell>
          <cell r="B53">
            <v>6617.0200289374989</v>
          </cell>
          <cell r="C53">
            <v>9701.8207905125</v>
          </cell>
          <cell r="D53">
            <v>12070.098604504201</v>
          </cell>
          <cell r="E53">
            <v>11920.3659190044</v>
          </cell>
          <cell r="F53">
            <v>12150.888419004401</v>
          </cell>
          <cell r="G53">
            <v>11378.5311045042</v>
          </cell>
          <cell r="H53">
            <v>13039.180124956876</v>
          </cell>
          <cell r="I53">
            <v>11905.338374960626</v>
          </cell>
          <cell r="J53">
            <v>12472.25924995875</v>
          </cell>
          <cell r="K53">
            <v>13039.180124956876</v>
          </cell>
          <cell r="L53">
            <v>8188.8570833062495</v>
          </cell>
          <cell r="M53">
            <v>6299.1208333124996</v>
          </cell>
          <cell r="N53">
            <v>128782.66065791908</v>
          </cell>
        </row>
        <row r="54">
          <cell r="A54" t="str">
            <v>Total - Expenses</v>
          </cell>
          <cell r="B54">
            <v>9144.6900289374989</v>
          </cell>
          <cell r="C54">
            <v>11229.4907905125</v>
          </cell>
          <cell r="D54">
            <v>13597.768604504201</v>
          </cell>
          <cell r="E54">
            <v>13448.0359190044</v>
          </cell>
          <cell r="F54">
            <v>13678.558419004401</v>
          </cell>
          <cell r="G54">
            <v>12906.2011045042</v>
          </cell>
          <cell r="H54">
            <v>14566.850124956876</v>
          </cell>
          <cell r="I54">
            <v>13433.008374960626</v>
          </cell>
          <cell r="J54">
            <v>13999.92924995875</v>
          </cell>
          <cell r="K54">
            <v>14566.850124956876</v>
          </cell>
          <cell r="L54">
            <v>9716.5270833062496</v>
          </cell>
          <cell r="M54">
            <v>7826.7908333124997</v>
          </cell>
          <cell r="N54">
            <v>148234.70065791908</v>
          </cell>
        </row>
        <row r="55">
          <cell r="A55" t="str">
            <v>Operating Profit</v>
          </cell>
          <cell r="B55">
            <v>-1092.6900289374989</v>
          </cell>
          <cell r="C55">
            <v>2861.5092094874999</v>
          </cell>
          <cell r="D55">
            <v>6135.731395495799</v>
          </cell>
          <cell r="E55">
            <v>3936.9640809955999</v>
          </cell>
          <cell r="F55">
            <v>6573.441580995599</v>
          </cell>
          <cell r="G55">
            <v>117.29889549580002</v>
          </cell>
          <cell r="H55">
            <v>3824.6498750431238</v>
          </cell>
          <cell r="I55">
            <v>6635.9916250393744</v>
          </cell>
          <cell r="J55">
            <v>7045.07075004125</v>
          </cell>
          <cell r="K55">
            <v>4404.1498750431238</v>
          </cell>
          <cell r="L55">
            <v>775.47291669375045</v>
          </cell>
          <cell r="M55">
            <v>-2702.7908333124997</v>
          </cell>
          <cell r="N55">
            <v>38394.799342080922</v>
          </cell>
        </row>
        <row r="56">
          <cell r="A56" t="str">
            <v>Net Profit/(Loss)</v>
          </cell>
          <cell r="B56">
            <v>-1092.6900289374989</v>
          </cell>
          <cell r="C56">
            <v>2861.5092094874999</v>
          </cell>
          <cell r="D56">
            <v>6135.731395495799</v>
          </cell>
          <cell r="E56">
            <v>3936.9640809955999</v>
          </cell>
          <cell r="F56">
            <v>6573.441580995599</v>
          </cell>
          <cell r="G56">
            <v>117.29889549580002</v>
          </cell>
          <cell r="H56">
            <v>3824.6498750431238</v>
          </cell>
          <cell r="I56">
            <v>6635.9916250393744</v>
          </cell>
          <cell r="J56">
            <v>7045.07075004125</v>
          </cell>
          <cell r="K56">
            <v>4404.1498750431238</v>
          </cell>
          <cell r="L56">
            <v>775.47291669375045</v>
          </cell>
          <cell r="M56">
            <v>-2702.7908333124997</v>
          </cell>
          <cell r="N56">
            <v>38394.799342080922</v>
          </cell>
          <cell r="O56" t="str">
            <v>goal $35-40k</v>
          </cell>
        </row>
      </sheetData>
      <sheetData sheetId="6">
        <row r="1">
          <cell r="A1" t="str">
            <v>Guild of Undergraduates</v>
          </cell>
        </row>
        <row r="2">
          <cell r="A2" t="str">
            <v>Budget 2024</v>
          </cell>
        </row>
        <row r="3">
          <cell r="A3" t="str">
            <v>Nedlands Café</v>
          </cell>
        </row>
        <row r="4">
          <cell r="A4" t="str">
            <v/>
          </cell>
        </row>
        <row r="5">
          <cell r="A5" t="str">
            <v/>
          </cell>
        </row>
        <row r="6">
          <cell r="A6" t="str">
            <v>Financial Row</v>
          </cell>
        </row>
        <row r="7">
          <cell r="A7" t="str">
            <v> </v>
          </cell>
          <cell r="B7" t="str">
            <v>Budget Amount</v>
          </cell>
          <cell r="C7" t="str">
            <v>Budget Amount</v>
          </cell>
          <cell r="D7" t="str">
            <v>Budget Amount</v>
          </cell>
          <cell r="E7" t="str">
            <v>Budget Amount</v>
          </cell>
          <cell r="F7" t="str">
            <v>Budget Amount</v>
          </cell>
          <cell r="G7" t="str">
            <v>Budget Amount</v>
          </cell>
          <cell r="H7" t="str">
            <v>Budget Amount</v>
          </cell>
          <cell r="I7" t="str">
            <v>Budget Amount</v>
          </cell>
          <cell r="J7" t="str">
            <v>Budget Amount</v>
          </cell>
          <cell r="K7" t="str">
            <v>Budget Amount</v>
          </cell>
          <cell r="L7" t="str">
            <v>Budget Amount</v>
          </cell>
          <cell r="M7" t="str">
            <v>Budget Amount</v>
          </cell>
          <cell r="N7" t="str">
            <v>Budget Amount</v>
          </cell>
        </row>
        <row r="8">
          <cell r="A8" t="str">
            <v>Income</v>
          </cell>
        </row>
        <row r="9">
          <cell r="A9" t="str">
            <v>SALES OF GOODS - SALES OF GOODS</v>
          </cell>
        </row>
        <row r="10">
          <cell r="A10" t="str">
            <v>101001 - Sales - Catering</v>
          </cell>
          <cell r="B10">
            <v>0</v>
          </cell>
          <cell r="C10">
            <v>2820</v>
          </cell>
          <cell r="D10">
            <v>13020</v>
          </cell>
          <cell r="E10">
            <v>10015</v>
          </cell>
          <cell r="F10">
            <v>7710</v>
          </cell>
          <cell r="G10">
            <v>0</v>
          </cell>
          <cell r="H10">
            <v>5375</v>
          </cell>
          <cell r="I10">
            <v>12575</v>
          </cell>
          <cell r="J10">
            <v>7855</v>
          </cell>
          <cell r="K10">
            <v>6700</v>
          </cell>
          <cell r="L10">
            <v>0</v>
          </cell>
          <cell r="M10">
            <v>0</v>
          </cell>
          <cell r="N10">
            <v>66070</v>
          </cell>
        </row>
        <row r="11">
          <cell r="A11" t="str">
            <v>101005 - Sales - End of Day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101050 - Under/Overs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 t="str">
            <v>Total - SALES OF GOODS - SALES OF GOODS</v>
          </cell>
          <cell r="B13">
            <v>0</v>
          </cell>
          <cell r="C13">
            <v>2820</v>
          </cell>
          <cell r="D13">
            <v>13020</v>
          </cell>
          <cell r="E13">
            <v>10015</v>
          </cell>
          <cell r="F13">
            <v>7710</v>
          </cell>
          <cell r="G13">
            <v>0</v>
          </cell>
          <cell r="H13">
            <v>5375</v>
          </cell>
          <cell r="I13">
            <v>12575</v>
          </cell>
          <cell r="J13">
            <v>7855</v>
          </cell>
          <cell r="K13">
            <v>6700</v>
          </cell>
          <cell r="L13">
            <v>0</v>
          </cell>
          <cell r="M13">
            <v>0</v>
          </cell>
          <cell r="N13">
            <v>66070</v>
          </cell>
        </row>
        <row r="14">
          <cell r="A14" t="str">
            <v>SALES CATERING DISCOUNT - SALES CATERING DISCOUNT</v>
          </cell>
        </row>
        <row r="15">
          <cell r="A15" t="str">
            <v>102000 - Guild Member Discount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16">
          <cell r="A16" t="str">
            <v>102003 - Other Promotional Discounts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A17" t="str">
            <v>Total - SALES CATERING DISCOUNT - SALES CATERING DISCOUNT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A18" t="str">
            <v>Total - Income</v>
          </cell>
          <cell r="B18">
            <v>0</v>
          </cell>
          <cell r="C18">
            <v>2820</v>
          </cell>
          <cell r="D18">
            <v>13020</v>
          </cell>
          <cell r="E18">
            <v>10015</v>
          </cell>
          <cell r="F18">
            <v>7710</v>
          </cell>
          <cell r="G18">
            <v>0</v>
          </cell>
          <cell r="H18">
            <v>5375</v>
          </cell>
          <cell r="I18">
            <v>12575</v>
          </cell>
          <cell r="J18">
            <v>7855</v>
          </cell>
          <cell r="K18">
            <v>6700</v>
          </cell>
          <cell r="L18">
            <v>0</v>
          </cell>
          <cell r="M18">
            <v>0</v>
          </cell>
          <cell r="N18">
            <v>66070</v>
          </cell>
        </row>
        <row r="19">
          <cell r="A19" t="str">
            <v>Cost Of Sales</v>
          </cell>
          <cell r="B19">
            <v>0.37</v>
          </cell>
          <cell r="C19">
            <v>0.37</v>
          </cell>
          <cell r="D19">
            <v>0.37</v>
          </cell>
          <cell r="E19">
            <v>0.37</v>
          </cell>
          <cell r="F19">
            <v>0.37</v>
          </cell>
          <cell r="G19">
            <v>0.37</v>
          </cell>
          <cell r="H19">
            <v>0.37</v>
          </cell>
          <cell r="I19">
            <v>0.37</v>
          </cell>
          <cell r="J19">
            <v>0.37</v>
          </cell>
          <cell r="K19">
            <v>0.37</v>
          </cell>
          <cell r="L19">
            <v>0.37</v>
          </cell>
          <cell r="M19">
            <v>0.37</v>
          </cell>
          <cell r="N19">
            <v>0.37</v>
          </cell>
        </row>
        <row r="20">
          <cell r="A20" t="str">
            <v>201070 - Cost of Goods Sold</v>
          </cell>
          <cell r="B20">
            <v>0</v>
          </cell>
          <cell r="C20">
            <v>1043.4000000000001</v>
          </cell>
          <cell r="D20">
            <v>4817.3999999999996</v>
          </cell>
          <cell r="E20">
            <v>3705.55</v>
          </cell>
          <cell r="F20">
            <v>2852.7</v>
          </cell>
          <cell r="G20">
            <v>0</v>
          </cell>
          <cell r="H20">
            <v>1988.75</v>
          </cell>
          <cell r="I20">
            <v>4652.75</v>
          </cell>
          <cell r="J20">
            <v>2906.35</v>
          </cell>
          <cell r="K20">
            <v>2479</v>
          </cell>
          <cell r="L20">
            <v>0</v>
          </cell>
          <cell r="M20">
            <v>0</v>
          </cell>
          <cell r="N20">
            <v>24445.899999999998</v>
          </cell>
        </row>
        <row r="21">
          <cell r="A21" t="str">
            <v>201075 - FREIGHT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A22" t="str">
            <v>201600 - Inter Department Transfers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A23" t="str">
            <v>Total - Cost Of Sales</v>
          </cell>
          <cell r="B23">
            <v>0</v>
          </cell>
          <cell r="C23">
            <v>1043.4000000000001</v>
          </cell>
          <cell r="D23">
            <v>4817.3999999999996</v>
          </cell>
          <cell r="E23">
            <v>3705.55</v>
          </cell>
          <cell r="F23">
            <v>2852.7</v>
          </cell>
          <cell r="G23">
            <v>0</v>
          </cell>
          <cell r="H23">
            <v>1988.75</v>
          </cell>
          <cell r="I23">
            <v>4652.75</v>
          </cell>
          <cell r="J23">
            <v>2906.35</v>
          </cell>
          <cell r="K23">
            <v>2479</v>
          </cell>
          <cell r="L23">
            <v>0</v>
          </cell>
          <cell r="M23">
            <v>0</v>
          </cell>
          <cell r="N23">
            <v>24445.9</v>
          </cell>
        </row>
        <row r="24">
          <cell r="A24" t="str">
            <v>Gross Profit</v>
          </cell>
          <cell r="B24">
            <v>0</v>
          </cell>
          <cell r="C24">
            <v>1776.6</v>
          </cell>
          <cell r="D24">
            <v>8202.6</v>
          </cell>
          <cell r="E24">
            <v>6309.45</v>
          </cell>
          <cell r="F24">
            <v>4857.3</v>
          </cell>
          <cell r="G24">
            <v>0</v>
          </cell>
          <cell r="H24">
            <v>3386.25</v>
          </cell>
          <cell r="I24">
            <v>7922.25</v>
          </cell>
          <cell r="J24">
            <v>4948.6499999999996</v>
          </cell>
          <cell r="K24">
            <v>4221</v>
          </cell>
          <cell r="L24">
            <v>0</v>
          </cell>
          <cell r="M24">
            <v>0</v>
          </cell>
          <cell r="N24">
            <v>41624.1</v>
          </cell>
        </row>
        <row r="25">
          <cell r="A25" t="str">
            <v>Expenses</v>
          </cell>
        </row>
        <row r="26">
          <cell r="A26" t="str">
            <v>ADMINISTRATIVE EXPENSES - ADMINISTRATIVE EXPENSES</v>
          </cell>
        </row>
        <row r="27">
          <cell r="A27" t="str">
            <v>305083 - Advertising &amp; Promotion</v>
          </cell>
          <cell r="B27">
            <v>10</v>
          </cell>
          <cell r="C27">
            <v>10</v>
          </cell>
          <cell r="D27">
            <v>10</v>
          </cell>
          <cell r="E27">
            <v>10</v>
          </cell>
          <cell r="F27">
            <v>10</v>
          </cell>
          <cell r="G27">
            <v>10</v>
          </cell>
          <cell r="H27">
            <v>10</v>
          </cell>
          <cell r="I27">
            <v>10</v>
          </cell>
          <cell r="J27">
            <v>10</v>
          </cell>
          <cell r="K27">
            <v>10</v>
          </cell>
          <cell r="L27">
            <v>10</v>
          </cell>
          <cell r="M27">
            <v>10</v>
          </cell>
          <cell r="N27">
            <v>120</v>
          </cell>
          <cell r="O27" t="str">
            <v>Dunbar $1303/ Jaymak $539 x2</v>
          </cell>
        </row>
        <row r="28">
          <cell r="A28" t="str">
            <v>305108 - Cleaning Contract</v>
          </cell>
          <cell r="B28">
            <v>212</v>
          </cell>
          <cell r="C28">
            <v>212</v>
          </cell>
          <cell r="D28">
            <v>212</v>
          </cell>
          <cell r="E28">
            <v>212</v>
          </cell>
          <cell r="F28">
            <v>212</v>
          </cell>
          <cell r="G28">
            <v>212</v>
          </cell>
          <cell r="H28">
            <v>212</v>
          </cell>
          <cell r="I28">
            <v>212</v>
          </cell>
          <cell r="J28">
            <v>212</v>
          </cell>
          <cell r="K28">
            <v>212</v>
          </cell>
          <cell r="L28">
            <v>212</v>
          </cell>
          <cell r="M28">
            <v>212</v>
          </cell>
          <cell r="N28">
            <v>2544</v>
          </cell>
        </row>
        <row r="29">
          <cell r="A29" t="str">
            <v>305109 - Cleaning Consumables</v>
          </cell>
          <cell r="B29">
            <v>0</v>
          </cell>
          <cell r="C29">
            <v>20</v>
          </cell>
          <cell r="D29">
            <v>20</v>
          </cell>
          <cell r="E29">
            <v>20</v>
          </cell>
          <cell r="F29">
            <v>20</v>
          </cell>
          <cell r="G29">
            <v>0</v>
          </cell>
          <cell r="H29">
            <v>20</v>
          </cell>
          <cell r="I29">
            <v>20</v>
          </cell>
          <cell r="J29">
            <v>20</v>
          </cell>
          <cell r="K29">
            <v>20</v>
          </cell>
          <cell r="L29">
            <v>0</v>
          </cell>
          <cell r="M29">
            <v>0</v>
          </cell>
          <cell r="N29">
            <v>160</v>
          </cell>
        </row>
        <row r="30">
          <cell r="A30" t="str">
            <v>305111 - Communication Expenses</v>
          </cell>
          <cell r="B30">
            <v>40</v>
          </cell>
          <cell r="C30">
            <v>40</v>
          </cell>
          <cell r="D30">
            <v>40</v>
          </cell>
          <cell r="E30">
            <v>40</v>
          </cell>
          <cell r="F30">
            <v>40</v>
          </cell>
          <cell r="G30">
            <v>40</v>
          </cell>
          <cell r="H30">
            <v>40</v>
          </cell>
          <cell r="I30">
            <v>40</v>
          </cell>
          <cell r="J30">
            <v>40</v>
          </cell>
          <cell r="K30">
            <v>40</v>
          </cell>
          <cell r="L30">
            <v>40</v>
          </cell>
          <cell r="M30">
            <v>40</v>
          </cell>
          <cell r="N30">
            <v>480</v>
          </cell>
        </row>
        <row r="31">
          <cell r="A31" t="str">
            <v>305112 - Paper Products &amp; Packaging</v>
          </cell>
          <cell r="B31">
            <v>0</v>
          </cell>
          <cell r="C31">
            <v>200</v>
          </cell>
          <cell r="D31">
            <v>200</v>
          </cell>
          <cell r="E31">
            <v>200</v>
          </cell>
          <cell r="F31">
            <v>200</v>
          </cell>
          <cell r="G31">
            <v>0</v>
          </cell>
          <cell r="H31">
            <v>200</v>
          </cell>
          <cell r="I31">
            <v>200</v>
          </cell>
          <cell r="J31">
            <v>200</v>
          </cell>
          <cell r="K31">
            <v>200</v>
          </cell>
          <cell r="L31">
            <v>0</v>
          </cell>
          <cell r="M31">
            <v>0</v>
          </cell>
          <cell r="N31">
            <v>1600</v>
          </cell>
        </row>
        <row r="32">
          <cell r="A32" t="str">
            <v>305114 - Computer Expenses</v>
          </cell>
          <cell r="B32">
            <v>1000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1000</v>
          </cell>
        </row>
        <row r="33">
          <cell r="A33" t="str">
            <v>305132 - Utilities</v>
          </cell>
          <cell r="B33">
            <v>800</v>
          </cell>
          <cell r="C33">
            <v>900</v>
          </cell>
          <cell r="D33">
            <v>1000</v>
          </cell>
          <cell r="E33">
            <v>900</v>
          </cell>
          <cell r="F33">
            <v>900</v>
          </cell>
          <cell r="G33">
            <v>650</v>
          </cell>
          <cell r="H33">
            <v>750</v>
          </cell>
          <cell r="I33">
            <v>800</v>
          </cell>
          <cell r="J33">
            <v>750</v>
          </cell>
          <cell r="K33">
            <v>720</v>
          </cell>
          <cell r="L33">
            <v>720</v>
          </cell>
          <cell r="M33">
            <v>720</v>
          </cell>
          <cell r="N33">
            <v>9610</v>
          </cell>
        </row>
        <row r="34">
          <cell r="A34" t="str">
            <v>305147 - General Expenses</v>
          </cell>
          <cell r="B34">
            <v>0</v>
          </cell>
          <cell r="C34">
            <v>10</v>
          </cell>
          <cell r="D34">
            <v>10</v>
          </cell>
          <cell r="E34">
            <v>10</v>
          </cell>
          <cell r="F34">
            <v>10</v>
          </cell>
          <cell r="G34">
            <v>0</v>
          </cell>
          <cell r="H34">
            <v>10</v>
          </cell>
          <cell r="I34">
            <v>10</v>
          </cell>
          <cell r="J34">
            <v>10</v>
          </cell>
          <cell r="K34">
            <v>10</v>
          </cell>
          <cell r="L34">
            <v>0</v>
          </cell>
          <cell r="M34">
            <v>0</v>
          </cell>
          <cell r="N34">
            <v>80</v>
          </cell>
          <cell r="O34" t="str">
            <v>NA casuals only</v>
          </cell>
        </row>
        <row r="35">
          <cell r="A35" t="str">
            <v>305156 - Laundry</v>
          </cell>
          <cell r="B35">
            <v>0</v>
          </cell>
          <cell r="C35">
            <v>5</v>
          </cell>
          <cell r="D35">
            <v>5</v>
          </cell>
          <cell r="E35">
            <v>5</v>
          </cell>
          <cell r="F35">
            <v>5</v>
          </cell>
          <cell r="G35">
            <v>0</v>
          </cell>
          <cell r="H35">
            <v>5</v>
          </cell>
          <cell r="I35">
            <v>5</v>
          </cell>
          <cell r="J35">
            <v>5</v>
          </cell>
          <cell r="K35">
            <v>5</v>
          </cell>
          <cell r="L35">
            <v>0</v>
          </cell>
          <cell r="M35">
            <v>0</v>
          </cell>
          <cell r="N35">
            <v>40</v>
          </cell>
          <cell r="O35" t="str">
            <v>City of Perth $260 x 2 = $520</v>
          </cell>
        </row>
        <row r="36">
          <cell r="A36" t="str">
            <v>305162 - Licence &amp; Permits</v>
          </cell>
          <cell r="B36">
            <v>44</v>
          </cell>
          <cell r="C36">
            <v>44</v>
          </cell>
          <cell r="D36">
            <v>44</v>
          </cell>
          <cell r="E36">
            <v>44</v>
          </cell>
          <cell r="F36">
            <v>44</v>
          </cell>
          <cell r="G36">
            <v>44</v>
          </cell>
          <cell r="H36">
            <v>44</v>
          </cell>
          <cell r="I36">
            <v>44</v>
          </cell>
          <cell r="J36">
            <v>44</v>
          </cell>
          <cell r="K36">
            <v>44</v>
          </cell>
          <cell r="L36">
            <v>44</v>
          </cell>
          <cell r="M36">
            <v>44</v>
          </cell>
          <cell r="N36">
            <v>528</v>
          </cell>
          <cell r="O36" t="str">
            <v>First Aid Kit $89x2</v>
          </cell>
        </row>
        <row r="37">
          <cell r="A37" t="str">
            <v>305168 - Occupational  Health &amp; Safety</v>
          </cell>
          <cell r="B37">
            <v>7</v>
          </cell>
          <cell r="C37">
            <v>7</v>
          </cell>
          <cell r="D37">
            <v>7</v>
          </cell>
          <cell r="E37">
            <v>7</v>
          </cell>
          <cell r="F37">
            <v>7</v>
          </cell>
          <cell r="G37">
            <v>7</v>
          </cell>
          <cell r="H37">
            <v>7</v>
          </cell>
          <cell r="I37">
            <v>7</v>
          </cell>
          <cell r="J37">
            <v>7</v>
          </cell>
          <cell r="K37">
            <v>7</v>
          </cell>
          <cell r="L37">
            <v>7</v>
          </cell>
          <cell r="M37">
            <v>7</v>
          </cell>
          <cell r="N37">
            <v>84</v>
          </cell>
        </row>
        <row r="38">
          <cell r="A38" t="str">
            <v>305180 - Printing &amp; Stationery</v>
          </cell>
          <cell r="B38">
            <v>0</v>
          </cell>
          <cell r="C38">
            <v>10</v>
          </cell>
          <cell r="D38">
            <v>10</v>
          </cell>
          <cell r="E38">
            <v>10</v>
          </cell>
          <cell r="F38">
            <v>10</v>
          </cell>
          <cell r="G38">
            <v>0</v>
          </cell>
          <cell r="H38">
            <v>10</v>
          </cell>
          <cell r="I38">
            <v>10</v>
          </cell>
          <cell r="J38">
            <v>10</v>
          </cell>
          <cell r="K38">
            <v>10</v>
          </cell>
          <cell r="L38">
            <v>0</v>
          </cell>
          <cell r="M38">
            <v>0</v>
          </cell>
          <cell r="N38">
            <v>80</v>
          </cell>
        </row>
        <row r="39">
          <cell r="A39" t="str">
            <v>305185 - Minor Assets</v>
          </cell>
          <cell r="B39">
            <v>30</v>
          </cell>
          <cell r="C39">
            <v>30</v>
          </cell>
          <cell r="D39">
            <v>30</v>
          </cell>
          <cell r="E39">
            <v>30</v>
          </cell>
          <cell r="F39">
            <v>30</v>
          </cell>
          <cell r="G39">
            <v>30</v>
          </cell>
          <cell r="H39">
            <v>30</v>
          </cell>
          <cell r="I39">
            <v>30</v>
          </cell>
          <cell r="J39">
            <v>30</v>
          </cell>
          <cell r="K39">
            <v>30</v>
          </cell>
          <cell r="L39">
            <v>30</v>
          </cell>
          <cell r="M39">
            <v>30</v>
          </cell>
          <cell r="N39">
            <v>360</v>
          </cell>
        </row>
        <row r="40">
          <cell r="A40" t="str">
            <v>305187 - Software Digital</v>
          </cell>
          <cell r="B40">
            <v>200</v>
          </cell>
          <cell r="C40">
            <v>200</v>
          </cell>
          <cell r="D40">
            <v>200</v>
          </cell>
          <cell r="E40">
            <v>200</v>
          </cell>
          <cell r="F40">
            <v>200</v>
          </cell>
          <cell r="G40">
            <v>200</v>
          </cell>
          <cell r="H40">
            <v>200</v>
          </cell>
          <cell r="I40">
            <v>200</v>
          </cell>
          <cell r="J40">
            <v>200</v>
          </cell>
          <cell r="K40">
            <v>200</v>
          </cell>
          <cell r="L40">
            <v>200</v>
          </cell>
          <cell r="M40">
            <v>200</v>
          </cell>
          <cell r="N40">
            <v>2400</v>
          </cell>
        </row>
        <row r="41">
          <cell r="A41" t="str">
            <v>305189 - Repairs &amp; Maintenance</v>
          </cell>
          <cell r="B41">
            <v>130</v>
          </cell>
          <cell r="C41">
            <v>130</v>
          </cell>
          <cell r="D41">
            <v>130</v>
          </cell>
          <cell r="E41">
            <v>130</v>
          </cell>
          <cell r="F41">
            <v>130</v>
          </cell>
          <cell r="G41">
            <v>130</v>
          </cell>
          <cell r="H41">
            <v>130</v>
          </cell>
          <cell r="I41">
            <v>130</v>
          </cell>
          <cell r="J41">
            <v>130</v>
          </cell>
          <cell r="K41">
            <v>130</v>
          </cell>
          <cell r="L41">
            <v>130</v>
          </cell>
          <cell r="M41">
            <v>130</v>
          </cell>
          <cell r="N41">
            <v>1560</v>
          </cell>
        </row>
        <row r="42">
          <cell r="A42" t="str">
            <v>305197 - Replacement of Glass/Cutlery</v>
          </cell>
          <cell r="B42">
            <v>0</v>
          </cell>
          <cell r="C42">
            <v>5</v>
          </cell>
          <cell r="D42">
            <v>5</v>
          </cell>
          <cell r="E42">
            <v>5</v>
          </cell>
          <cell r="F42">
            <v>5</v>
          </cell>
          <cell r="G42">
            <v>0</v>
          </cell>
          <cell r="H42">
            <v>5</v>
          </cell>
          <cell r="I42">
            <v>5</v>
          </cell>
          <cell r="J42">
            <v>5</v>
          </cell>
          <cell r="K42">
            <v>5</v>
          </cell>
          <cell r="L42">
            <v>0</v>
          </cell>
          <cell r="M42">
            <v>0</v>
          </cell>
          <cell r="N42">
            <v>40</v>
          </cell>
        </row>
        <row r="43">
          <cell r="A43" t="str">
            <v>305225 - Uniforms</v>
          </cell>
          <cell r="B43">
            <v>5</v>
          </cell>
          <cell r="C43">
            <v>5</v>
          </cell>
          <cell r="D43">
            <v>5</v>
          </cell>
          <cell r="E43">
            <v>5</v>
          </cell>
          <cell r="F43">
            <v>5</v>
          </cell>
          <cell r="G43">
            <v>5</v>
          </cell>
          <cell r="H43">
            <v>5</v>
          </cell>
          <cell r="I43">
            <v>5</v>
          </cell>
          <cell r="J43">
            <v>5</v>
          </cell>
          <cell r="K43">
            <v>5</v>
          </cell>
          <cell r="L43">
            <v>5</v>
          </cell>
          <cell r="M43">
            <v>5</v>
          </cell>
          <cell r="N43">
            <v>60</v>
          </cell>
          <cell r="O43" t="str">
            <v>Cleanaway</v>
          </cell>
        </row>
        <row r="44">
          <cell r="A44" t="str">
            <v>305228 - Waste Control</v>
          </cell>
          <cell r="B44">
            <v>310</v>
          </cell>
          <cell r="C44">
            <v>310</v>
          </cell>
          <cell r="D44">
            <v>310</v>
          </cell>
          <cell r="E44">
            <v>310</v>
          </cell>
          <cell r="F44">
            <v>310</v>
          </cell>
          <cell r="G44">
            <v>310</v>
          </cell>
          <cell r="H44">
            <v>310</v>
          </cell>
          <cell r="I44">
            <v>310</v>
          </cell>
          <cell r="J44">
            <v>310</v>
          </cell>
          <cell r="K44">
            <v>310</v>
          </cell>
          <cell r="L44">
            <v>310</v>
          </cell>
          <cell r="M44">
            <v>310</v>
          </cell>
          <cell r="N44">
            <v>3720</v>
          </cell>
        </row>
        <row r="45">
          <cell r="A45" t="str">
            <v>306005 - Depreciation - Property</v>
          </cell>
          <cell r="B45">
            <v>81.23</v>
          </cell>
          <cell r="C45">
            <v>81.23</v>
          </cell>
          <cell r="D45">
            <v>81.23</v>
          </cell>
          <cell r="E45">
            <v>81.23</v>
          </cell>
          <cell r="F45">
            <v>81.23</v>
          </cell>
          <cell r="G45">
            <v>81.23</v>
          </cell>
          <cell r="H45">
            <v>81.23</v>
          </cell>
          <cell r="I45">
            <v>81.23</v>
          </cell>
          <cell r="J45">
            <v>81.23</v>
          </cell>
          <cell r="K45">
            <v>81.23</v>
          </cell>
          <cell r="L45">
            <v>81.23</v>
          </cell>
          <cell r="M45">
            <v>81.23</v>
          </cell>
          <cell r="N45">
            <v>974.7600000000001</v>
          </cell>
        </row>
        <row r="46">
          <cell r="A46" t="str">
            <v>305102 - Bank Charges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A47" t="str">
            <v>Total - ADMINISTRATIVE EXPENSES - ADMINISTRATIVE EXPENSES</v>
          </cell>
          <cell r="B47">
            <v>2859.23</v>
          </cell>
          <cell r="C47">
            <v>2209.23</v>
          </cell>
          <cell r="D47">
            <v>2309.23</v>
          </cell>
          <cell r="E47">
            <v>2209.23</v>
          </cell>
          <cell r="F47">
            <v>2209.23</v>
          </cell>
          <cell r="G47">
            <v>1709.23</v>
          </cell>
          <cell r="H47">
            <v>2059.23</v>
          </cell>
          <cell r="I47">
            <v>2109.23</v>
          </cell>
          <cell r="J47">
            <v>2059.23</v>
          </cell>
          <cell r="K47">
            <v>2029.23</v>
          </cell>
          <cell r="L47">
            <v>1779.23</v>
          </cell>
          <cell r="M47">
            <v>1779.23</v>
          </cell>
          <cell r="N47">
            <v>25440.76</v>
          </cell>
        </row>
        <row r="48">
          <cell r="A48" t="str">
            <v>EMPLOYEE BENEFITS EXPENSE - EMPLOYEE BENEFITS EXPENSE</v>
          </cell>
          <cell r="B48" t="e">
            <v>#DIV/0!</v>
          </cell>
          <cell r="C48">
            <v>0.42553191489361702</v>
          </cell>
          <cell r="D48">
            <v>0.3686635944700461</v>
          </cell>
          <cell r="E48">
            <v>0.31153270094857716</v>
          </cell>
          <cell r="F48">
            <v>0.52918287937743191</v>
          </cell>
          <cell r="G48" t="e">
            <v>#DIV/0!</v>
          </cell>
          <cell r="H48">
            <v>0.41860465116279072</v>
          </cell>
          <cell r="I48">
            <v>0.41749502982107356</v>
          </cell>
          <cell r="J48">
            <v>0.50922978994271162</v>
          </cell>
          <cell r="K48">
            <v>0.48507462686567165</v>
          </cell>
          <cell r="L48" t="e">
            <v>#DIV/0!</v>
          </cell>
          <cell r="M48" t="e">
            <v>#DIV/0!</v>
          </cell>
          <cell r="N48">
            <v>0.42303617375510821</v>
          </cell>
          <cell r="O48">
            <v>6.4028480967929201E-6</v>
          </cell>
          <cell r="P48" t="str">
            <v>4% increase from July</v>
          </cell>
        </row>
        <row r="49">
          <cell r="A49" t="str">
            <v>304001 - Salaries &amp; Wages - Permanent Staff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A50" t="str">
            <v>304004 - Salaries &amp; Wages - Other</v>
          </cell>
          <cell r="B50">
            <v>0</v>
          </cell>
          <cell r="C50">
            <v>1200</v>
          </cell>
          <cell r="D50">
            <v>4800</v>
          </cell>
          <cell r="E50">
            <v>3120</v>
          </cell>
          <cell r="F50">
            <v>4080</v>
          </cell>
          <cell r="G50">
            <v>0</v>
          </cell>
          <cell r="H50">
            <v>2250</v>
          </cell>
          <cell r="I50">
            <v>5250</v>
          </cell>
          <cell r="J50">
            <v>4000</v>
          </cell>
          <cell r="K50">
            <v>3250</v>
          </cell>
          <cell r="L50">
            <v>0</v>
          </cell>
          <cell r="M50">
            <v>0</v>
          </cell>
          <cell r="N50">
            <v>27950</v>
          </cell>
        </row>
        <row r="51">
          <cell r="A51" t="str">
            <v>304010 - Superannuation</v>
          </cell>
          <cell r="B51">
            <v>0</v>
          </cell>
          <cell r="C51">
            <v>141.45000000000002</v>
          </cell>
          <cell r="D51">
            <v>565.80000000000007</v>
          </cell>
          <cell r="E51">
            <v>367.77000000000004</v>
          </cell>
          <cell r="F51">
            <v>480.93</v>
          </cell>
          <cell r="G51">
            <v>0</v>
          </cell>
          <cell r="H51">
            <v>276.75</v>
          </cell>
          <cell r="I51">
            <v>645.75</v>
          </cell>
          <cell r="J51">
            <v>492</v>
          </cell>
          <cell r="K51">
            <v>399.75</v>
          </cell>
          <cell r="L51">
            <v>0</v>
          </cell>
          <cell r="M51">
            <v>0</v>
          </cell>
          <cell r="N51">
            <v>3370.2000000000003</v>
          </cell>
        </row>
        <row r="52">
          <cell r="A52" t="str">
            <v>304013 - Workers Compensation Insurance</v>
          </cell>
          <cell r="B52">
            <v>0</v>
          </cell>
          <cell r="C52">
            <v>11.685</v>
          </cell>
          <cell r="D52">
            <v>46.74</v>
          </cell>
          <cell r="E52">
            <v>30.381</v>
          </cell>
          <cell r="F52">
            <v>39.728999999999999</v>
          </cell>
          <cell r="G52">
            <v>0</v>
          </cell>
          <cell r="H52">
            <v>21.909375000000001</v>
          </cell>
          <cell r="I52">
            <v>51.121874999999996</v>
          </cell>
          <cell r="J52">
            <v>38.949999999999996</v>
          </cell>
          <cell r="K52">
            <v>31.646874999999998</v>
          </cell>
          <cell r="L52">
            <v>0</v>
          </cell>
          <cell r="M52">
            <v>0</v>
          </cell>
          <cell r="N52">
            <v>272.16312500000004</v>
          </cell>
        </row>
        <row r="53">
          <cell r="A53" t="str">
            <v>304016 - Annual Leave Provision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</row>
        <row r="54">
          <cell r="A54" t="str">
            <v>304019 - Long Service Leave Provision</v>
          </cell>
          <cell r="B54">
            <v>0</v>
          </cell>
          <cell r="C54">
            <v>30</v>
          </cell>
          <cell r="D54">
            <v>120</v>
          </cell>
          <cell r="E54">
            <v>78</v>
          </cell>
          <cell r="F54">
            <v>102</v>
          </cell>
          <cell r="G54">
            <v>0</v>
          </cell>
          <cell r="H54">
            <v>56.25</v>
          </cell>
          <cell r="I54">
            <v>131.25</v>
          </cell>
          <cell r="J54">
            <v>100</v>
          </cell>
          <cell r="K54">
            <v>81.25</v>
          </cell>
          <cell r="L54">
            <v>0</v>
          </cell>
          <cell r="M54">
            <v>0</v>
          </cell>
          <cell r="N54">
            <v>698.75</v>
          </cell>
        </row>
        <row r="55">
          <cell r="A55" t="str">
            <v>Total - EMPLOYEE BENEFITS EXPENSE - EMPLOYEE BENEFITS EXPENSE</v>
          </cell>
          <cell r="B55">
            <v>0</v>
          </cell>
          <cell r="C55">
            <v>1383.135</v>
          </cell>
          <cell r="D55">
            <v>5532.54</v>
          </cell>
          <cell r="E55">
            <v>3596.1509999999998</v>
          </cell>
          <cell r="F55">
            <v>4702.6590000000006</v>
          </cell>
          <cell r="G55">
            <v>0</v>
          </cell>
          <cell r="H55">
            <v>2604.9093750000002</v>
          </cell>
          <cell r="I55">
            <v>6078.1218749999998</v>
          </cell>
          <cell r="J55">
            <v>4630.95</v>
          </cell>
          <cell r="K55">
            <v>3762.6468749999999</v>
          </cell>
          <cell r="L55">
            <v>0</v>
          </cell>
          <cell r="M55">
            <v>0</v>
          </cell>
          <cell r="N55">
            <v>32291.113125</v>
          </cell>
          <cell r="O55">
            <v>0.48874092818223097</v>
          </cell>
        </row>
        <row r="56">
          <cell r="A56" t="str">
            <v>Total - Expenses</v>
          </cell>
          <cell r="B56">
            <v>2859.23</v>
          </cell>
          <cell r="C56">
            <v>3592.3649999999998</v>
          </cell>
          <cell r="D56">
            <v>7841.77</v>
          </cell>
          <cell r="E56">
            <v>5805.3809999999994</v>
          </cell>
          <cell r="F56">
            <v>6911.889000000001</v>
          </cell>
          <cell r="G56">
            <v>1709.23</v>
          </cell>
          <cell r="H56">
            <v>4664.1393750000007</v>
          </cell>
          <cell r="I56">
            <v>8187.3518750000003</v>
          </cell>
          <cell r="J56">
            <v>6690.18</v>
          </cell>
          <cell r="K56">
            <v>5791.8768749999999</v>
          </cell>
          <cell r="L56">
            <v>1779.23</v>
          </cell>
          <cell r="M56">
            <v>1779.23</v>
          </cell>
          <cell r="N56">
            <v>57731.873124999998</v>
          </cell>
        </row>
        <row r="57">
          <cell r="A57" t="str">
            <v>Operating Profit</v>
          </cell>
          <cell r="B57">
            <v>-2859.23</v>
          </cell>
          <cell r="C57">
            <v>-1815.7649999999999</v>
          </cell>
          <cell r="D57">
            <v>360.82999999999993</v>
          </cell>
          <cell r="E57">
            <v>504.06900000000041</v>
          </cell>
          <cell r="F57">
            <v>-2054.5890000000009</v>
          </cell>
          <cell r="G57">
            <v>-1709.23</v>
          </cell>
          <cell r="H57">
            <v>-1277.8893750000007</v>
          </cell>
          <cell r="I57">
            <v>-265.10187500000029</v>
          </cell>
          <cell r="J57">
            <v>-1741.5300000000007</v>
          </cell>
          <cell r="K57">
            <v>-1570.8768749999999</v>
          </cell>
          <cell r="L57">
            <v>-1779.23</v>
          </cell>
          <cell r="M57">
            <v>-1779.23</v>
          </cell>
          <cell r="N57">
            <v>-16107.773125</v>
          </cell>
        </row>
        <row r="58">
          <cell r="A58" t="str">
            <v>RENTAL - PROPERTY &amp; EQUIPMENT INCOME - RENTAL - PROPERTY &amp; EQUIPMENT INCOME</v>
          </cell>
        </row>
        <row r="59">
          <cell r="A59" t="str">
            <v>103052 - Lease/Rental Income</v>
          </cell>
          <cell r="B59">
            <v>1360</v>
          </cell>
          <cell r="C59">
            <v>1360</v>
          </cell>
          <cell r="D59">
            <v>1360</v>
          </cell>
          <cell r="E59">
            <v>1360</v>
          </cell>
          <cell r="F59">
            <v>1360</v>
          </cell>
          <cell r="G59">
            <v>1360</v>
          </cell>
          <cell r="H59">
            <v>1360</v>
          </cell>
          <cell r="I59">
            <v>1360</v>
          </cell>
          <cell r="J59">
            <v>1360</v>
          </cell>
          <cell r="K59">
            <v>1360</v>
          </cell>
          <cell r="L59">
            <v>1360</v>
          </cell>
          <cell r="M59">
            <v>1360</v>
          </cell>
          <cell r="N59">
            <v>16320</v>
          </cell>
        </row>
        <row r="60">
          <cell r="A60" t="str">
            <v>103070 - Venue Hire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</row>
        <row r="61">
          <cell r="A61" t="str">
            <v>Total - RENTAL - PROPERTY &amp; EQUIPMENT INCOME - RENTAL - PROPERTY &amp; EQUIPMENT INCOME</v>
          </cell>
          <cell r="B61">
            <v>1360</v>
          </cell>
          <cell r="C61">
            <v>1360</v>
          </cell>
          <cell r="D61">
            <v>1360</v>
          </cell>
          <cell r="E61">
            <v>1360</v>
          </cell>
          <cell r="F61">
            <v>1360</v>
          </cell>
          <cell r="G61">
            <v>1360</v>
          </cell>
          <cell r="H61">
            <v>1360</v>
          </cell>
          <cell r="I61">
            <v>1360</v>
          </cell>
          <cell r="J61">
            <v>1360</v>
          </cell>
          <cell r="K61">
            <v>1360</v>
          </cell>
          <cell r="L61">
            <v>1360</v>
          </cell>
          <cell r="M61">
            <v>1360</v>
          </cell>
          <cell r="N61">
            <v>16320</v>
          </cell>
        </row>
        <row r="62">
          <cell r="A62" t="str">
            <v>Total - Other Income</v>
          </cell>
          <cell r="B62">
            <v>1360</v>
          </cell>
          <cell r="C62">
            <v>1360</v>
          </cell>
          <cell r="D62">
            <v>1360</v>
          </cell>
          <cell r="E62">
            <v>1360</v>
          </cell>
          <cell r="F62">
            <v>1360</v>
          </cell>
          <cell r="G62">
            <v>1360</v>
          </cell>
          <cell r="H62">
            <v>1360</v>
          </cell>
          <cell r="I62">
            <v>1360</v>
          </cell>
          <cell r="J62">
            <v>1360</v>
          </cell>
          <cell r="K62">
            <v>1360</v>
          </cell>
          <cell r="L62">
            <v>1360</v>
          </cell>
          <cell r="M62">
            <v>1360</v>
          </cell>
          <cell r="N62">
            <v>16320</v>
          </cell>
        </row>
        <row r="63">
          <cell r="A63" t="str">
            <v>Net Profit/(Loss)</v>
          </cell>
          <cell r="B63">
            <v>-1499.23</v>
          </cell>
          <cell r="C63">
            <v>-455.76499999999987</v>
          </cell>
          <cell r="D63">
            <v>1720.83</v>
          </cell>
          <cell r="E63">
            <v>1864.0690000000004</v>
          </cell>
          <cell r="F63">
            <v>-694.58900000000085</v>
          </cell>
          <cell r="G63">
            <v>-349.23</v>
          </cell>
          <cell r="H63">
            <v>82.110624999999345</v>
          </cell>
          <cell r="I63">
            <v>1094.8981249999997</v>
          </cell>
          <cell r="J63">
            <v>-381.53000000000065</v>
          </cell>
          <cell r="K63">
            <v>-210.87687499999993</v>
          </cell>
          <cell r="L63">
            <v>-419.23</v>
          </cell>
          <cell r="M63">
            <v>-419.23</v>
          </cell>
          <cell r="N63">
            <v>212.22687500000029</v>
          </cell>
        </row>
      </sheetData>
      <sheetData sheetId="7">
        <row r="1">
          <cell r="A1" t="str">
            <v>Guild of Undergraduates</v>
          </cell>
        </row>
        <row r="2">
          <cell r="A2" t="str">
            <v>Budget Profit and Loss</v>
          </cell>
        </row>
        <row r="3">
          <cell r="A3" t="str">
            <v>FY 2025</v>
          </cell>
        </row>
        <row r="4">
          <cell r="A4" t="str">
            <v>FUNCTIONS</v>
          </cell>
        </row>
        <row r="5">
          <cell r="A5" t="str">
            <v/>
          </cell>
        </row>
        <row r="6">
          <cell r="A6" t="str">
            <v>Financial Row</v>
          </cell>
          <cell r="B6">
            <v>45658</v>
          </cell>
          <cell r="C6">
            <v>45690</v>
          </cell>
          <cell r="D6">
            <v>45722</v>
          </cell>
          <cell r="E6">
            <v>45754</v>
          </cell>
          <cell r="F6">
            <v>45786</v>
          </cell>
          <cell r="G6">
            <v>45818</v>
          </cell>
          <cell r="H6">
            <v>45850</v>
          </cell>
          <cell r="I6">
            <v>45882</v>
          </cell>
          <cell r="J6">
            <v>45914</v>
          </cell>
          <cell r="K6">
            <v>45946</v>
          </cell>
          <cell r="L6">
            <v>45978</v>
          </cell>
          <cell r="M6">
            <v>46010</v>
          </cell>
          <cell r="N6" t="str">
            <v>Total</v>
          </cell>
        </row>
        <row r="7">
          <cell r="A7" t="str">
            <v> </v>
          </cell>
          <cell r="B7" t="str">
            <v>Amount</v>
          </cell>
          <cell r="C7" t="str">
            <v>Amount</v>
          </cell>
          <cell r="D7" t="str">
            <v>Amount</v>
          </cell>
          <cell r="E7" t="str">
            <v>Amount</v>
          </cell>
          <cell r="F7" t="str">
            <v>Amount</v>
          </cell>
          <cell r="G7" t="str">
            <v>Amount</v>
          </cell>
          <cell r="H7" t="str">
            <v>Amount</v>
          </cell>
          <cell r="I7" t="str">
            <v>Amount</v>
          </cell>
          <cell r="J7" t="str">
            <v>Amount</v>
          </cell>
          <cell r="K7" t="str">
            <v>Amount</v>
          </cell>
          <cell r="L7" t="str">
            <v>Amount</v>
          </cell>
          <cell r="M7" t="str">
            <v>Amount</v>
          </cell>
          <cell r="N7" t="str">
            <v>Amount</v>
          </cell>
        </row>
        <row r="8">
          <cell r="A8" t="str">
            <v>Income</v>
          </cell>
        </row>
        <row r="9">
          <cell r="A9" t="str">
            <v>SALES OF GOODS - SALES OF GOODS</v>
          </cell>
        </row>
        <row r="10">
          <cell r="A10" t="str">
            <v>101001 - Sales - Catering</v>
          </cell>
          <cell r="B10">
            <v>7517.9800000000005</v>
          </cell>
          <cell r="C10">
            <v>41348.89</v>
          </cell>
          <cell r="D10">
            <v>26312.930000000004</v>
          </cell>
          <cell r="E10">
            <v>26312.930000000004</v>
          </cell>
          <cell r="F10">
            <v>37589.9</v>
          </cell>
          <cell r="G10">
            <v>26312.930000000004</v>
          </cell>
          <cell r="H10">
            <v>26312.930000000004</v>
          </cell>
          <cell r="I10">
            <v>26312.930000000004</v>
          </cell>
          <cell r="J10">
            <v>33830.909999999996</v>
          </cell>
          <cell r="K10">
            <v>56384.85</v>
          </cell>
          <cell r="L10">
            <v>26312.930000000004</v>
          </cell>
          <cell r="M10">
            <v>41348.89</v>
          </cell>
          <cell r="N10">
            <v>375899</v>
          </cell>
        </row>
        <row r="11">
          <cell r="A11" t="str">
            <v>Total - SALES OF GOODS - SALES OF GOODS</v>
          </cell>
          <cell r="B11">
            <v>7517.9800000000005</v>
          </cell>
          <cell r="C11">
            <v>41348.89</v>
          </cell>
          <cell r="D11">
            <v>26312.930000000004</v>
          </cell>
          <cell r="E11">
            <v>26312.930000000004</v>
          </cell>
          <cell r="F11">
            <v>37589.9</v>
          </cell>
          <cell r="G11">
            <v>26312.930000000004</v>
          </cell>
          <cell r="H11">
            <v>26312.930000000004</v>
          </cell>
          <cell r="I11">
            <v>26312.930000000004</v>
          </cell>
          <cell r="J11">
            <v>33830.909999999996</v>
          </cell>
          <cell r="K11">
            <v>56384.85</v>
          </cell>
          <cell r="L11">
            <v>26312.930000000004</v>
          </cell>
          <cell r="M11">
            <v>41348.89</v>
          </cell>
          <cell r="N11">
            <v>375899</v>
          </cell>
        </row>
        <row r="12">
          <cell r="A12" t="str">
            <v>Total - Income</v>
          </cell>
          <cell r="B12">
            <v>7517.9800000000005</v>
          </cell>
          <cell r="C12">
            <v>41348.89</v>
          </cell>
          <cell r="D12">
            <v>26312.930000000004</v>
          </cell>
          <cell r="E12">
            <v>26312.930000000004</v>
          </cell>
          <cell r="F12">
            <v>37589.9</v>
          </cell>
          <cell r="G12">
            <v>26312.930000000004</v>
          </cell>
          <cell r="H12">
            <v>26312.930000000004</v>
          </cell>
          <cell r="I12">
            <v>26312.930000000004</v>
          </cell>
          <cell r="J12">
            <v>33830.909999999996</v>
          </cell>
          <cell r="K12">
            <v>56384.85</v>
          </cell>
          <cell r="L12">
            <v>26312.930000000004</v>
          </cell>
          <cell r="M12">
            <v>41348.89</v>
          </cell>
          <cell r="N12">
            <v>375899</v>
          </cell>
        </row>
        <row r="13">
          <cell r="A13" t="str">
            <v>Cost Of Sales</v>
          </cell>
        </row>
        <row r="14">
          <cell r="A14" t="str">
            <v>201070 - Cost of Goods Sold</v>
          </cell>
          <cell r="B14">
            <v>2856.8324000000002</v>
          </cell>
          <cell r="C14">
            <v>15712.5782</v>
          </cell>
          <cell r="D14">
            <v>9998.9134000000013</v>
          </cell>
          <cell r="E14">
            <v>9998.9134000000013</v>
          </cell>
          <cell r="F14">
            <v>14284.162</v>
          </cell>
          <cell r="G14">
            <v>9998.9134000000013</v>
          </cell>
          <cell r="H14">
            <v>9998.9134000000013</v>
          </cell>
          <cell r="I14">
            <v>9998.9134000000013</v>
          </cell>
          <cell r="J14">
            <v>12855.745799999999</v>
          </cell>
          <cell r="K14">
            <v>21426.242999999999</v>
          </cell>
          <cell r="L14">
            <v>9998.9134000000013</v>
          </cell>
          <cell r="M14">
            <v>15712.5782</v>
          </cell>
          <cell r="N14">
            <v>142841.62000000002</v>
          </cell>
        </row>
        <row r="15">
          <cell r="A15" t="str">
            <v>Total - Cost Of Sales</v>
          </cell>
          <cell r="B15">
            <v>2856.8324000000002</v>
          </cell>
          <cell r="C15">
            <v>15712.5782</v>
          </cell>
          <cell r="D15">
            <v>9998.9134000000013</v>
          </cell>
          <cell r="E15">
            <v>9998.9134000000013</v>
          </cell>
          <cell r="F15">
            <v>14284.162</v>
          </cell>
          <cell r="G15">
            <v>9998.9134000000013</v>
          </cell>
          <cell r="H15">
            <v>9998.9134000000013</v>
          </cell>
          <cell r="I15">
            <v>9998.9134000000013</v>
          </cell>
          <cell r="J15">
            <v>12855.745799999999</v>
          </cell>
          <cell r="K15">
            <v>21426.242999999999</v>
          </cell>
          <cell r="L15">
            <v>9998.9134000000013</v>
          </cell>
          <cell r="M15">
            <v>15712.5782</v>
          </cell>
          <cell r="N15">
            <v>142841.62000000002</v>
          </cell>
        </row>
        <row r="16">
          <cell r="A16" t="str">
            <v>Gross Profit</v>
          </cell>
          <cell r="B16">
            <v>4661.1476000000002</v>
          </cell>
          <cell r="C16">
            <v>25636.311799999999</v>
          </cell>
          <cell r="D16">
            <v>16314.016600000003</v>
          </cell>
          <cell r="E16">
            <v>16314.016600000003</v>
          </cell>
          <cell r="F16">
            <v>23305.738000000001</v>
          </cell>
          <cell r="G16">
            <v>16314.016600000003</v>
          </cell>
          <cell r="H16">
            <v>16314.016600000003</v>
          </cell>
          <cell r="I16">
            <v>16314.016600000003</v>
          </cell>
          <cell r="J16">
            <v>20975.164199999999</v>
          </cell>
          <cell r="K16">
            <v>34958.607000000004</v>
          </cell>
          <cell r="L16">
            <v>16314.016600000003</v>
          </cell>
          <cell r="M16">
            <v>25636.311799999999</v>
          </cell>
          <cell r="N16">
            <v>233057.37999999998</v>
          </cell>
          <cell r="O16">
            <v>0.61999999999999988</v>
          </cell>
        </row>
        <row r="17">
          <cell r="A17" t="str">
            <v>Expenses</v>
          </cell>
        </row>
        <row r="18">
          <cell r="A18" t="str">
            <v>ADMINISTRATIVE EXPENSES - ADMINISTRATIVE EXPENSES</v>
          </cell>
        </row>
        <row r="19">
          <cell r="A19" t="str">
            <v>305052 - Awards &amp; Prizes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305083 - Advertising &amp; Promotion</v>
          </cell>
          <cell r="B20">
            <v>415</v>
          </cell>
          <cell r="C20">
            <v>415</v>
          </cell>
          <cell r="D20">
            <v>415</v>
          </cell>
          <cell r="E20">
            <v>415</v>
          </cell>
          <cell r="F20">
            <v>415</v>
          </cell>
          <cell r="G20">
            <v>415</v>
          </cell>
          <cell r="H20">
            <v>415</v>
          </cell>
          <cell r="I20">
            <v>415</v>
          </cell>
          <cell r="J20">
            <v>415</v>
          </cell>
          <cell r="K20">
            <v>415</v>
          </cell>
          <cell r="L20">
            <v>415</v>
          </cell>
          <cell r="M20">
            <v>415</v>
          </cell>
          <cell r="N20">
            <v>4980</v>
          </cell>
        </row>
        <row r="21">
          <cell r="A21" t="str">
            <v>305108 - Cleaning Contract</v>
          </cell>
          <cell r="B21">
            <v>165</v>
          </cell>
          <cell r="C21">
            <v>165</v>
          </cell>
          <cell r="D21">
            <v>165</v>
          </cell>
          <cell r="E21">
            <v>165</v>
          </cell>
          <cell r="F21">
            <v>165</v>
          </cell>
          <cell r="G21">
            <v>165</v>
          </cell>
          <cell r="H21">
            <v>165</v>
          </cell>
          <cell r="I21">
            <v>165</v>
          </cell>
          <cell r="J21">
            <v>165</v>
          </cell>
          <cell r="K21">
            <v>165</v>
          </cell>
          <cell r="L21">
            <v>165</v>
          </cell>
          <cell r="M21">
            <v>165</v>
          </cell>
          <cell r="N21">
            <v>1980</v>
          </cell>
        </row>
        <row r="22">
          <cell r="A22" t="str">
            <v>305109 - Cleaning Consumables</v>
          </cell>
          <cell r="B22">
            <v>45</v>
          </cell>
          <cell r="C22">
            <v>45</v>
          </cell>
          <cell r="D22">
            <v>45</v>
          </cell>
          <cell r="E22">
            <v>45</v>
          </cell>
          <cell r="F22">
            <v>45</v>
          </cell>
          <cell r="G22">
            <v>45</v>
          </cell>
          <cell r="H22">
            <v>45</v>
          </cell>
          <cell r="I22">
            <v>45</v>
          </cell>
          <cell r="J22">
            <v>45</v>
          </cell>
          <cell r="K22">
            <v>45</v>
          </cell>
          <cell r="L22">
            <v>45</v>
          </cell>
          <cell r="M22">
            <v>45</v>
          </cell>
          <cell r="N22">
            <v>540</v>
          </cell>
        </row>
        <row r="23">
          <cell r="A23" t="str">
            <v>305111 - Communication Expenses</v>
          </cell>
          <cell r="B23">
            <v>45</v>
          </cell>
          <cell r="C23">
            <v>45</v>
          </cell>
          <cell r="D23">
            <v>45</v>
          </cell>
          <cell r="E23">
            <v>45</v>
          </cell>
          <cell r="F23">
            <v>45</v>
          </cell>
          <cell r="G23">
            <v>45</v>
          </cell>
          <cell r="H23">
            <v>45</v>
          </cell>
          <cell r="I23">
            <v>45</v>
          </cell>
          <cell r="J23">
            <v>45</v>
          </cell>
          <cell r="K23">
            <v>45</v>
          </cell>
          <cell r="L23">
            <v>45</v>
          </cell>
          <cell r="M23">
            <v>45</v>
          </cell>
          <cell r="N23">
            <v>540</v>
          </cell>
        </row>
        <row r="24">
          <cell r="A24" t="str">
            <v>305112 - Paper Products &amp; Packaging</v>
          </cell>
          <cell r="B24">
            <v>0</v>
          </cell>
          <cell r="C24">
            <v>0</v>
          </cell>
          <cell r="D24">
            <v>150</v>
          </cell>
          <cell r="E24">
            <v>0</v>
          </cell>
          <cell r="F24">
            <v>0</v>
          </cell>
          <cell r="G24">
            <v>0</v>
          </cell>
          <cell r="H24">
            <v>150</v>
          </cell>
          <cell r="I24">
            <v>0</v>
          </cell>
          <cell r="J24">
            <v>0</v>
          </cell>
          <cell r="K24">
            <v>0</v>
          </cell>
          <cell r="L24">
            <v>150</v>
          </cell>
          <cell r="M24">
            <v>0</v>
          </cell>
          <cell r="N24">
            <v>450</v>
          </cell>
        </row>
        <row r="25">
          <cell r="A25" t="str">
            <v>305141 - Equipment Rental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</row>
        <row r="26">
          <cell r="A26" t="str">
            <v>305156 - Laundry</v>
          </cell>
          <cell r="B26">
            <v>30</v>
          </cell>
          <cell r="C26">
            <v>30</v>
          </cell>
          <cell r="D26">
            <v>30</v>
          </cell>
          <cell r="E26">
            <v>30</v>
          </cell>
          <cell r="F26">
            <v>30</v>
          </cell>
          <cell r="G26">
            <v>30</v>
          </cell>
          <cell r="H26">
            <v>30</v>
          </cell>
          <cell r="I26">
            <v>30</v>
          </cell>
          <cell r="J26">
            <v>30</v>
          </cell>
          <cell r="K26">
            <v>30</v>
          </cell>
          <cell r="L26">
            <v>30</v>
          </cell>
          <cell r="M26">
            <v>30</v>
          </cell>
          <cell r="N26">
            <v>360</v>
          </cell>
        </row>
        <row r="27">
          <cell r="A27" t="str">
            <v>305162 - Licence &amp; Permits</v>
          </cell>
          <cell r="B27">
            <v>1000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650</v>
          </cell>
          <cell r="H27">
            <v>0</v>
          </cell>
          <cell r="I27">
            <v>710</v>
          </cell>
          <cell r="J27">
            <v>0</v>
          </cell>
          <cell r="K27">
            <v>0</v>
          </cell>
          <cell r="L27">
            <v>600</v>
          </cell>
          <cell r="M27">
            <v>0</v>
          </cell>
          <cell r="N27">
            <v>2960</v>
          </cell>
        </row>
        <row r="28">
          <cell r="A28" t="str">
            <v>305165 - Motor Vehicle Expenses</v>
          </cell>
          <cell r="B28">
            <v>200</v>
          </cell>
          <cell r="C28">
            <v>300</v>
          </cell>
          <cell r="D28">
            <v>1000</v>
          </cell>
          <cell r="E28">
            <v>250</v>
          </cell>
          <cell r="F28">
            <v>100</v>
          </cell>
          <cell r="G28">
            <v>650</v>
          </cell>
          <cell r="H28">
            <v>100</v>
          </cell>
          <cell r="I28">
            <v>100</v>
          </cell>
          <cell r="J28">
            <v>150</v>
          </cell>
          <cell r="K28">
            <v>220</v>
          </cell>
          <cell r="L28">
            <v>100</v>
          </cell>
          <cell r="M28">
            <v>200</v>
          </cell>
          <cell r="N28">
            <v>3370</v>
          </cell>
        </row>
        <row r="29">
          <cell r="A29" t="str">
            <v>305180 - Printing &amp; Stationery</v>
          </cell>
          <cell r="B29">
            <v>5</v>
          </cell>
          <cell r="C29">
            <v>5</v>
          </cell>
          <cell r="D29">
            <v>5</v>
          </cell>
          <cell r="E29">
            <v>5</v>
          </cell>
          <cell r="F29">
            <v>5</v>
          </cell>
          <cell r="G29">
            <v>5</v>
          </cell>
          <cell r="H29">
            <v>5</v>
          </cell>
          <cell r="I29">
            <v>5</v>
          </cell>
          <cell r="J29">
            <v>5</v>
          </cell>
          <cell r="K29">
            <v>5</v>
          </cell>
          <cell r="L29">
            <v>5</v>
          </cell>
          <cell r="M29">
            <v>5</v>
          </cell>
          <cell r="N29">
            <v>60</v>
          </cell>
        </row>
        <row r="30">
          <cell r="A30" t="str">
            <v>305185 - Minor Assets</v>
          </cell>
          <cell r="B30">
            <v>10</v>
          </cell>
          <cell r="C30">
            <v>10</v>
          </cell>
          <cell r="D30">
            <v>10</v>
          </cell>
          <cell r="E30">
            <v>10</v>
          </cell>
          <cell r="F30">
            <v>10</v>
          </cell>
          <cell r="G30">
            <v>10</v>
          </cell>
          <cell r="H30">
            <v>10</v>
          </cell>
          <cell r="I30">
            <v>10</v>
          </cell>
          <cell r="J30">
            <v>10</v>
          </cell>
          <cell r="K30">
            <v>10</v>
          </cell>
          <cell r="L30">
            <v>10</v>
          </cell>
          <cell r="M30">
            <v>10</v>
          </cell>
          <cell r="N30">
            <v>120</v>
          </cell>
        </row>
        <row r="31">
          <cell r="A31" t="str">
            <v>305187 - Software Digital</v>
          </cell>
          <cell r="B31">
            <v>151</v>
          </cell>
          <cell r="C31">
            <v>151</v>
          </cell>
          <cell r="D31">
            <v>151</v>
          </cell>
          <cell r="E31">
            <v>151</v>
          </cell>
          <cell r="F31">
            <v>151</v>
          </cell>
          <cell r="G31">
            <v>151</v>
          </cell>
          <cell r="H31">
            <v>151</v>
          </cell>
          <cell r="I31">
            <v>151</v>
          </cell>
          <cell r="J31">
            <v>151</v>
          </cell>
          <cell r="K31">
            <v>151</v>
          </cell>
          <cell r="L31">
            <v>151</v>
          </cell>
          <cell r="M31">
            <v>151</v>
          </cell>
          <cell r="N31">
            <v>1812</v>
          </cell>
        </row>
        <row r="32">
          <cell r="A32" t="str">
            <v>305189 - Repairs &amp; Maintenance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A33" t="str">
            <v>305197 - Replacement of Glass/Cutlery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A34" t="str">
            <v>305210 - Staff Amenities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A35" t="str">
            <v>305225 - Uniforms</v>
          </cell>
          <cell r="B35">
            <v>500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500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1000</v>
          </cell>
        </row>
        <row r="36">
          <cell r="A36" t="str">
            <v>305228 - Waste Control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A37" t="str">
            <v>306006 - Depreciation - Computer Equipment</v>
          </cell>
          <cell r="B37">
            <v>74.72</v>
          </cell>
          <cell r="C37">
            <v>74.72</v>
          </cell>
          <cell r="D37">
            <v>74.72</v>
          </cell>
          <cell r="E37">
            <v>74.72</v>
          </cell>
          <cell r="F37">
            <v>74.72</v>
          </cell>
          <cell r="G37">
            <v>74.72</v>
          </cell>
          <cell r="H37">
            <v>74.72</v>
          </cell>
          <cell r="I37">
            <v>74.72</v>
          </cell>
          <cell r="J37">
            <v>74.72</v>
          </cell>
          <cell r="K37">
            <v>74.72</v>
          </cell>
          <cell r="L37">
            <v>74.72</v>
          </cell>
          <cell r="M37">
            <v>74.72</v>
          </cell>
          <cell r="N37">
            <v>896.64000000000021</v>
          </cell>
        </row>
        <row r="38">
          <cell r="A38" t="str">
            <v>Total - ADMINISTRATIVE EXPENSES - ADMINISTRATIVE EXPENSES</v>
          </cell>
          <cell r="B38">
            <v>2640.72</v>
          </cell>
          <cell r="C38">
            <v>1240.72</v>
          </cell>
          <cell r="D38">
            <v>2090.7199999999998</v>
          </cell>
          <cell r="E38">
            <v>1190.72</v>
          </cell>
          <cell r="F38">
            <v>1040.72</v>
          </cell>
          <cell r="G38">
            <v>2240.7199999999998</v>
          </cell>
          <cell r="H38">
            <v>1690.72</v>
          </cell>
          <cell r="I38">
            <v>1750.72</v>
          </cell>
          <cell r="J38">
            <v>1090.72</v>
          </cell>
          <cell r="K38">
            <v>1160.72</v>
          </cell>
          <cell r="L38">
            <v>1790.72</v>
          </cell>
          <cell r="M38">
            <v>1140.72</v>
          </cell>
          <cell r="N38">
            <v>19068.64</v>
          </cell>
        </row>
        <row r="39">
          <cell r="A39" t="str">
            <v>EMPLOYEE BENEFITS EXPENSE - EMPLOYEE BENEFITS EXPENSE</v>
          </cell>
        </row>
        <row r="40">
          <cell r="A40" t="str">
            <v>304001 - Salaries &amp; Wages - Permanent Staff</v>
          </cell>
          <cell r="B40">
            <v>5683.3657587548641</v>
          </cell>
          <cell r="C40">
            <v>5982.4902723735413</v>
          </cell>
          <cell r="D40">
            <v>6281.6147859922175</v>
          </cell>
          <cell r="E40">
            <v>6580.7392996108947</v>
          </cell>
          <cell r="F40">
            <v>6879.8638132295719</v>
          </cell>
          <cell r="G40">
            <v>5982.4902723735413</v>
          </cell>
          <cell r="H40">
            <v>6879.8638132295719</v>
          </cell>
          <cell r="I40">
            <v>6580.7392996108947</v>
          </cell>
          <cell r="J40">
            <v>6281.6147859922175</v>
          </cell>
          <cell r="K40">
            <v>6879.8638132295719</v>
          </cell>
          <cell r="L40">
            <v>6281.6147859922175</v>
          </cell>
          <cell r="M40">
            <v>6580.7392996108947</v>
          </cell>
          <cell r="N40">
            <v>76875.000000000015</v>
          </cell>
        </row>
        <row r="41">
          <cell r="A41" t="str">
            <v>304004 - Salaries &amp; Wages - Other</v>
          </cell>
          <cell r="B41">
            <v>2500</v>
          </cell>
          <cell r="C41">
            <v>11000</v>
          </cell>
          <cell r="D41">
            <v>7000</v>
          </cell>
          <cell r="E41">
            <v>7000</v>
          </cell>
          <cell r="F41">
            <v>10000</v>
          </cell>
          <cell r="G41">
            <v>7000</v>
          </cell>
          <cell r="H41">
            <v>7000</v>
          </cell>
          <cell r="I41">
            <v>7000</v>
          </cell>
          <cell r="J41">
            <v>10000</v>
          </cell>
          <cell r="K41">
            <v>15000</v>
          </cell>
          <cell r="L41">
            <v>7000</v>
          </cell>
          <cell r="M41">
            <v>12000</v>
          </cell>
          <cell r="N41">
            <v>102500</v>
          </cell>
        </row>
        <row r="42">
          <cell r="A42" t="str">
            <v>304010 - Superannuation</v>
          </cell>
          <cell r="B42">
            <v>983.23935454188961</v>
          </cell>
          <cell r="C42">
            <v>1849.8637942546206</v>
          </cell>
          <cell r="D42">
            <v>1499.3007339673518</v>
          </cell>
          <cell r="E42">
            <v>1538.2376736800827</v>
          </cell>
          <cell r="F42">
            <v>1869.2996133928136</v>
          </cell>
          <cell r="G42">
            <v>1460.3637942546206</v>
          </cell>
          <cell r="H42">
            <v>1577.1746133928136</v>
          </cell>
          <cell r="I42">
            <v>1538.2376736800827</v>
          </cell>
          <cell r="J42">
            <v>1791.4257339673518</v>
          </cell>
          <cell r="K42">
            <v>2356.1746133928136</v>
          </cell>
          <cell r="L42">
            <v>1499.3007339673518</v>
          </cell>
          <cell r="M42">
            <v>2025.1126736800827</v>
          </cell>
          <cell r="N42">
            <v>19987.731006171874</v>
          </cell>
        </row>
        <row r="43">
          <cell r="A43" t="str">
            <v>304013 - Workers Compensation Insurance</v>
          </cell>
          <cell r="B43">
            <v>84.115521057301805</v>
          </cell>
          <cell r="C43">
            <v>170.03015374452821</v>
          </cell>
          <cell r="D43">
            <v>134.22603643175461</v>
          </cell>
          <cell r="E43">
            <v>137.37191911898103</v>
          </cell>
          <cell r="F43">
            <v>169.73030180620745</v>
          </cell>
          <cell r="G43">
            <v>131.08015374452822</v>
          </cell>
          <cell r="H43">
            <v>140.51780180620744</v>
          </cell>
          <cell r="I43">
            <v>137.37191911898103</v>
          </cell>
          <cell r="J43">
            <v>163.43853643175464</v>
          </cell>
          <cell r="K43">
            <v>218.41780180620745</v>
          </cell>
          <cell r="L43">
            <v>134.22603643175461</v>
          </cell>
          <cell r="M43">
            <v>186.05941911898103</v>
          </cell>
          <cell r="N43">
            <v>1806.5856006171875</v>
          </cell>
        </row>
        <row r="44">
          <cell r="A44" t="str">
            <v>304016 - Annual Leave Provision</v>
          </cell>
          <cell r="B44">
            <v>552.17915859678988</v>
          </cell>
          <cell r="C44">
            <v>540.7104827334631</v>
          </cell>
          <cell r="D44">
            <v>567.74600687013628</v>
          </cell>
          <cell r="E44">
            <v>594.78153100680936</v>
          </cell>
          <cell r="F44">
            <v>621.81705514348255</v>
          </cell>
          <cell r="G44">
            <v>540.7104827334631</v>
          </cell>
          <cell r="H44">
            <v>621.81705514348255</v>
          </cell>
          <cell r="I44">
            <v>594.78153100680936</v>
          </cell>
          <cell r="J44">
            <v>567.74600687013628</v>
          </cell>
          <cell r="K44">
            <v>621.81705514348255</v>
          </cell>
          <cell r="L44">
            <v>567.74600687013628</v>
          </cell>
          <cell r="M44">
            <v>594.78153100680936</v>
          </cell>
          <cell r="N44">
            <v>6986.6339031250009</v>
          </cell>
        </row>
        <row r="45">
          <cell r="A45" t="str">
            <v>304019 - Long Service Leave Provision</v>
          </cell>
          <cell r="B45">
            <v>184.54445710116732</v>
          </cell>
          <cell r="C45">
            <v>374.71016536964981</v>
          </cell>
          <cell r="D45">
            <v>279.69567363813229</v>
          </cell>
          <cell r="E45">
            <v>284.68118190661477</v>
          </cell>
          <cell r="F45">
            <v>364.6666901750973</v>
          </cell>
          <cell r="G45">
            <v>274.71016536964981</v>
          </cell>
          <cell r="H45">
            <v>289.6666901750973</v>
          </cell>
          <cell r="I45">
            <v>284.68118190661477</v>
          </cell>
          <cell r="J45">
            <v>354.69567363813229</v>
          </cell>
          <cell r="K45">
            <v>489.6666901750973</v>
          </cell>
          <cell r="L45">
            <v>279.69567363813229</v>
          </cell>
          <cell r="M45">
            <v>409.68118190661477</v>
          </cell>
          <cell r="N45">
            <v>3871.0954249999995</v>
          </cell>
        </row>
        <row r="46">
          <cell r="A46" t="str">
            <v>Total - EMPLOYEE BENEFITS EXPENSE - EMPLOYEE BENEFITS EXPENSE</v>
          </cell>
          <cell r="B46">
            <v>9987.4442500520108</v>
          </cell>
          <cell r="C46">
            <v>19917.8048684758</v>
          </cell>
          <cell r="D46">
            <v>15762.583236899593</v>
          </cell>
          <cell r="E46">
            <v>16135.811605323383</v>
          </cell>
          <cell r="F46">
            <v>19905.377473747172</v>
          </cell>
          <cell r="G46">
            <v>15389.354868475803</v>
          </cell>
          <cell r="H46">
            <v>16509.039973747171</v>
          </cell>
          <cell r="I46">
            <v>16135.811605323383</v>
          </cell>
          <cell r="J46">
            <v>19158.920736899592</v>
          </cell>
          <cell r="K46">
            <v>25565.939973747172</v>
          </cell>
          <cell r="L46">
            <v>15762.583236899593</v>
          </cell>
          <cell r="M46">
            <v>21796.374105323383</v>
          </cell>
          <cell r="N46">
            <v>212027.04593491409</v>
          </cell>
          <cell r="O46">
            <v>0.5640532322110835</v>
          </cell>
        </row>
        <row r="47">
          <cell r="A47" t="str">
            <v>Total - Expenses</v>
          </cell>
          <cell r="B47">
            <v>12628.16425005201</v>
          </cell>
          <cell r="C47">
            <v>21158.524868475801</v>
          </cell>
          <cell r="D47">
            <v>17853.303236899592</v>
          </cell>
          <cell r="E47">
            <v>17326.531605323384</v>
          </cell>
          <cell r="F47">
            <v>20946.097473747173</v>
          </cell>
          <cell r="G47">
            <v>17630.074868475804</v>
          </cell>
          <cell r="H47">
            <v>18199.759973747172</v>
          </cell>
          <cell r="I47">
            <v>17886.531605323384</v>
          </cell>
          <cell r="J47">
            <v>20249.640736899593</v>
          </cell>
          <cell r="K47">
            <v>26726.659973747173</v>
          </cell>
          <cell r="L47">
            <v>17553.303236899592</v>
          </cell>
          <cell r="M47">
            <v>22937.094105323384</v>
          </cell>
          <cell r="N47">
            <v>231095.6859349141</v>
          </cell>
        </row>
        <row r="48">
          <cell r="A48" t="str">
            <v>Operating Profit</v>
          </cell>
          <cell r="B48">
            <v>-7967.0166500520099</v>
          </cell>
          <cell r="C48">
            <v>4477.7869315241987</v>
          </cell>
          <cell r="D48">
            <v>-1539.2866368995892</v>
          </cell>
          <cell r="E48">
            <v>-1012.515005323381</v>
          </cell>
          <cell r="F48">
            <v>2359.6405262528278</v>
          </cell>
          <cell r="G48">
            <v>-1316.058268475801</v>
          </cell>
          <cell r="H48">
            <v>-1885.7433737471692</v>
          </cell>
          <cell r="I48">
            <v>-1572.515005323381</v>
          </cell>
          <cell r="J48">
            <v>725.52346310040593</v>
          </cell>
          <cell r="K48">
            <v>8231.9470262528303</v>
          </cell>
          <cell r="L48">
            <v>-1239.2866368995892</v>
          </cell>
          <cell r="M48">
            <v>2699.2176946766158</v>
          </cell>
          <cell r="N48">
            <v>1961.6940650858742</v>
          </cell>
        </row>
        <row r="49">
          <cell r="A49" t="str">
            <v>Other Income</v>
          </cell>
          <cell r="B49">
            <v>1.3284744372892732</v>
          </cell>
          <cell r="C49">
            <v>0.48170107754950131</v>
          </cell>
          <cell r="D49">
            <v>0.59904325504227729</v>
          </cell>
          <cell r="E49">
            <v>0.61322747429964586</v>
          </cell>
          <cell r="F49">
            <v>0.5295405806811716</v>
          </cell>
          <cell r="G49">
            <v>0.58485903578490883</v>
          </cell>
          <cell r="H49">
            <v>0.62741169355701432</v>
          </cell>
          <cell r="I49">
            <v>0.61322747429964586</v>
          </cell>
          <cell r="J49">
            <v>0.5663140819120619</v>
          </cell>
          <cell r="K49">
            <v>0.45341860399996048</v>
          </cell>
          <cell r="L49">
            <v>0.59904325504227729</v>
          </cell>
          <cell r="M49">
            <v>0.52713323393501932</v>
          </cell>
          <cell r="N49">
            <v>0.5640532322110835</v>
          </cell>
        </row>
        <row r="50">
          <cell r="A50" t="str">
            <v>GAIN/LOSS OF DISPOSAL OF ASSETS - GAIN/LOSS OF DISPOSAL OF ASSETS</v>
          </cell>
        </row>
        <row r="51">
          <cell r="A51" t="str">
            <v>104000 - Profit/(loss) of Sale of Fixed Assets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</row>
        <row r="52">
          <cell r="A52" t="str">
            <v>Total - GAIN/LOSS OF DISPOSAL OF ASSETS - GAIN/LOSS OF DISPOSAL OF ASSETS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</row>
        <row r="53">
          <cell r="A53" t="str">
            <v>OTHER INCOME - OTHER INCOME</v>
          </cell>
        </row>
        <row r="54">
          <cell r="A54" t="str">
            <v>103030 - Service Fees</v>
          </cell>
          <cell r="B54">
            <v>1500</v>
          </cell>
          <cell r="C54">
            <v>6600</v>
          </cell>
          <cell r="D54">
            <v>4200</v>
          </cell>
          <cell r="E54">
            <v>4200</v>
          </cell>
          <cell r="F54">
            <v>6000</v>
          </cell>
          <cell r="G54">
            <v>4200</v>
          </cell>
          <cell r="H54">
            <v>4200</v>
          </cell>
          <cell r="I54">
            <v>4200</v>
          </cell>
          <cell r="J54">
            <v>6000</v>
          </cell>
          <cell r="K54">
            <v>9000</v>
          </cell>
          <cell r="L54">
            <v>4200</v>
          </cell>
          <cell r="M54">
            <v>7200</v>
          </cell>
          <cell r="N54">
            <v>61500</v>
          </cell>
        </row>
        <row r="55">
          <cell r="A55" t="str">
            <v>103069 - Sundry Income</v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</row>
        <row r="56">
          <cell r="A56" t="str">
            <v>Total - OTHER INCOME - OTHER INCOME</v>
          </cell>
          <cell r="B56">
            <v>1500</v>
          </cell>
          <cell r="C56">
            <v>6600</v>
          </cell>
          <cell r="D56">
            <v>4200</v>
          </cell>
          <cell r="E56">
            <v>4200</v>
          </cell>
          <cell r="F56">
            <v>6000</v>
          </cell>
          <cell r="G56">
            <v>4200</v>
          </cell>
          <cell r="H56">
            <v>4200</v>
          </cell>
          <cell r="I56">
            <v>4200</v>
          </cell>
          <cell r="J56">
            <v>6000</v>
          </cell>
          <cell r="K56">
            <v>9000</v>
          </cell>
          <cell r="L56">
            <v>4200</v>
          </cell>
          <cell r="M56">
            <v>7200</v>
          </cell>
          <cell r="N56">
            <v>61500</v>
          </cell>
        </row>
        <row r="57">
          <cell r="A57" t="str">
            <v>RENTAL - PROPERTY &amp; EQUIPMENT INCOME - RENTAL - PROPERTY &amp; EQUIPMENT INCOME</v>
          </cell>
        </row>
        <row r="58">
          <cell r="A58" t="str">
            <v>103043 - Hire Income - Crockery &amp; Glassware</v>
          </cell>
          <cell r="B58">
            <v>200</v>
          </cell>
          <cell r="C58">
            <v>200</v>
          </cell>
          <cell r="D58">
            <v>350</v>
          </cell>
          <cell r="E58">
            <v>180</v>
          </cell>
          <cell r="F58">
            <v>180</v>
          </cell>
          <cell r="G58">
            <v>150</v>
          </cell>
          <cell r="H58">
            <v>150</v>
          </cell>
          <cell r="I58">
            <v>380</v>
          </cell>
          <cell r="J58">
            <v>350</v>
          </cell>
          <cell r="K58">
            <v>400</v>
          </cell>
          <cell r="L58">
            <v>180</v>
          </cell>
          <cell r="M58">
            <v>200</v>
          </cell>
          <cell r="N58">
            <v>2920</v>
          </cell>
        </row>
        <row r="59">
          <cell r="A59" t="str">
            <v>103070 - Venue Hire</v>
          </cell>
          <cell r="B59">
            <v>110</v>
          </cell>
          <cell r="C59">
            <v>385</v>
          </cell>
          <cell r="D59">
            <v>385</v>
          </cell>
          <cell r="E59">
            <v>385</v>
          </cell>
          <cell r="F59">
            <v>1600</v>
          </cell>
          <cell r="G59">
            <v>160</v>
          </cell>
          <cell r="H59">
            <v>375</v>
          </cell>
          <cell r="I59">
            <v>275</v>
          </cell>
          <cell r="J59">
            <v>315</v>
          </cell>
          <cell r="K59">
            <v>315</v>
          </cell>
          <cell r="L59">
            <v>315</v>
          </cell>
          <cell r="M59">
            <v>315</v>
          </cell>
          <cell r="N59">
            <v>4935</v>
          </cell>
        </row>
        <row r="60">
          <cell r="A60" t="str">
            <v>Total - RENTAL - PROPERTY &amp; EQUIPMENT INCOME - RENTAL - PROPERTY &amp; EQUIPMENT INCOME</v>
          </cell>
          <cell r="B60">
            <v>310</v>
          </cell>
          <cell r="C60">
            <v>585</v>
          </cell>
          <cell r="D60">
            <v>735</v>
          </cell>
          <cell r="E60">
            <v>565</v>
          </cell>
          <cell r="F60">
            <v>1780</v>
          </cell>
          <cell r="G60">
            <v>310</v>
          </cell>
          <cell r="H60">
            <v>525</v>
          </cell>
          <cell r="I60">
            <v>655</v>
          </cell>
          <cell r="J60">
            <v>665</v>
          </cell>
          <cell r="K60">
            <v>715</v>
          </cell>
          <cell r="L60">
            <v>495</v>
          </cell>
          <cell r="M60">
            <v>515</v>
          </cell>
          <cell r="N60">
            <v>7855</v>
          </cell>
        </row>
        <row r="61">
          <cell r="A61" t="str">
            <v>Total - Other Income</v>
          </cell>
          <cell r="B61">
            <v>1810</v>
          </cell>
          <cell r="C61">
            <v>7185</v>
          </cell>
          <cell r="D61">
            <v>4935</v>
          </cell>
          <cell r="E61">
            <v>4765</v>
          </cell>
          <cell r="F61">
            <v>7780</v>
          </cell>
          <cell r="G61">
            <v>4510</v>
          </cell>
          <cell r="H61">
            <v>4725</v>
          </cell>
          <cell r="I61">
            <v>4855</v>
          </cell>
          <cell r="J61">
            <v>6665</v>
          </cell>
          <cell r="K61">
            <v>9715</v>
          </cell>
          <cell r="L61">
            <v>4695</v>
          </cell>
          <cell r="M61">
            <v>7715</v>
          </cell>
          <cell r="N61">
            <v>69355</v>
          </cell>
        </row>
        <row r="62">
          <cell r="A62" t="str">
            <v>Net Profit/(Loss)</v>
          </cell>
          <cell r="B62">
            <v>-6157.0166500520099</v>
          </cell>
          <cell r="C62">
            <v>11662.786931524199</v>
          </cell>
          <cell r="D62">
            <v>3395.7133631004108</v>
          </cell>
          <cell r="E62">
            <v>3752.484994676619</v>
          </cell>
          <cell r="F62">
            <v>10139.640526252828</v>
          </cell>
          <cell r="G62">
            <v>3193.941731524199</v>
          </cell>
          <cell r="H62">
            <v>2839.2566262528308</v>
          </cell>
          <cell r="I62">
            <v>3282.484994676619</v>
          </cell>
          <cell r="J62">
            <v>7390.5234631004059</v>
          </cell>
          <cell r="K62">
            <v>17946.94702625283</v>
          </cell>
          <cell r="L62">
            <v>3455.7133631004108</v>
          </cell>
          <cell r="M62">
            <v>10414.217694676616</v>
          </cell>
          <cell r="N62">
            <v>71316.694065085874</v>
          </cell>
        </row>
        <row r="63">
          <cell r="A63" t="str">
            <v>Net Profit/(Loss)</v>
          </cell>
          <cell r="B63">
            <v>-6155.6881756147204</v>
          </cell>
          <cell r="C63">
            <v>11663.268632601748</v>
          </cell>
          <cell r="D63">
            <v>3396.3124063554533</v>
          </cell>
          <cell r="E63">
            <v>3753.0982221509184</v>
          </cell>
          <cell r="F63">
            <v>10140.170066833509</v>
          </cell>
          <cell r="G63">
            <v>3194.526590559984</v>
          </cell>
          <cell r="H63">
            <v>2839.8840379463877</v>
          </cell>
          <cell r="I63">
            <v>3283.0982221509184</v>
          </cell>
          <cell r="J63">
            <v>7391.0897771823184</v>
          </cell>
          <cell r="K63">
            <v>17947.40044485683</v>
          </cell>
          <cell r="L63">
            <v>3456.3124063554533</v>
          </cell>
          <cell r="M63">
            <v>10414.74482791055</v>
          </cell>
          <cell r="N63">
            <v>71317.258118318088</v>
          </cell>
        </row>
      </sheetData>
      <sheetData sheetId="8">
        <row r="1">
          <cell r="A1" t="str">
            <v>Guild of Undergraduates</v>
          </cell>
        </row>
        <row r="2">
          <cell r="A2" t="str">
            <v>Budget 2025</v>
          </cell>
        </row>
        <row r="3">
          <cell r="A3" t="str">
            <v>HACKETT Café</v>
          </cell>
        </row>
        <row r="4">
          <cell r="A4" t="str">
            <v/>
          </cell>
        </row>
        <row r="5">
          <cell r="A5" t="str">
            <v>Financial Row</v>
          </cell>
          <cell r="B5">
            <v>45658</v>
          </cell>
          <cell r="C5">
            <v>45689</v>
          </cell>
          <cell r="D5">
            <v>45717</v>
          </cell>
          <cell r="E5">
            <v>45748</v>
          </cell>
          <cell r="F5">
            <v>45778</v>
          </cell>
          <cell r="G5">
            <v>45809</v>
          </cell>
          <cell r="H5">
            <v>45839</v>
          </cell>
          <cell r="I5">
            <v>45870</v>
          </cell>
          <cell r="J5">
            <v>45901</v>
          </cell>
          <cell r="K5">
            <v>45931</v>
          </cell>
          <cell r="L5">
            <v>45962</v>
          </cell>
          <cell r="M5">
            <v>45992</v>
          </cell>
          <cell r="N5" t="str">
            <v>Total</v>
          </cell>
        </row>
        <row r="6">
          <cell r="A6" t="str">
            <v>Income</v>
          </cell>
        </row>
        <row r="7">
          <cell r="A7" t="str">
            <v>SALES OF GOODS - SALES OF GOODS</v>
          </cell>
        </row>
        <row r="8">
          <cell r="A8" t="str">
            <v>101001 - Sales - Catering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101005 - Sales - End of Day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101050 - Under/Overs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Total - SALES OF GOODS - SALES OF GOODS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SALES CATERING DISCOUNT - SALES CATERING DISCOUNT</v>
          </cell>
        </row>
        <row r="13">
          <cell r="A13" t="str">
            <v>102000 - Guild Member Discount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102003 - Other Promotional Discounts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 t="str">
            <v>2019 actual $616 645 (pre covid, pre iga, pre ref)</v>
          </cell>
        </row>
        <row r="15">
          <cell r="A15" t="str">
            <v>Total - SALES CATERING DISCOUNT - SALES CATERING DISCOUNT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 t="str">
            <v xml:space="preserve">2023 actual $407 993 </v>
          </cell>
        </row>
        <row r="16">
          <cell r="A16" t="str">
            <v>Total - Income</v>
          </cell>
          <cell r="B16">
            <v>17800</v>
          </cell>
          <cell r="C16">
            <v>34650</v>
          </cell>
          <cell r="D16">
            <v>55500</v>
          </cell>
          <cell r="E16">
            <v>42850</v>
          </cell>
          <cell r="F16">
            <v>40900</v>
          </cell>
          <cell r="G16">
            <v>21250</v>
          </cell>
          <cell r="H16">
            <v>36150</v>
          </cell>
          <cell r="I16">
            <v>43500</v>
          </cell>
          <cell r="J16">
            <v>39850</v>
          </cell>
          <cell r="K16">
            <v>43350</v>
          </cell>
          <cell r="L16">
            <v>21350</v>
          </cell>
          <cell r="M16">
            <v>15400</v>
          </cell>
          <cell r="N16">
            <v>412550</v>
          </cell>
          <cell r="O16" t="str">
            <v>2024 actual Jan - Sept $378 318</v>
          </cell>
          <cell r="S16" t="str">
            <v>anticipating a decrease in sales with no breakfast menu and quobba reopen</v>
          </cell>
        </row>
        <row r="17">
          <cell r="A17" t="str">
            <v>Cost Of Sales</v>
          </cell>
          <cell r="B17">
            <v>0.39</v>
          </cell>
          <cell r="C17">
            <v>0.39</v>
          </cell>
          <cell r="D17">
            <v>0.39</v>
          </cell>
          <cell r="E17">
            <v>0.39</v>
          </cell>
          <cell r="F17">
            <v>0.39</v>
          </cell>
          <cell r="G17">
            <v>0.39</v>
          </cell>
          <cell r="H17">
            <v>0.39</v>
          </cell>
          <cell r="I17">
            <v>0.39</v>
          </cell>
          <cell r="J17">
            <v>0.39</v>
          </cell>
          <cell r="K17">
            <v>0.39</v>
          </cell>
          <cell r="L17">
            <v>0.39</v>
          </cell>
          <cell r="M17">
            <v>0.39</v>
          </cell>
          <cell r="N17">
            <v>0.39</v>
          </cell>
          <cell r="O17" t="str">
            <v>are we including or excluding wages in MK transfers?</v>
          </cell>
        </row>
        <row r="18">
          <cell r="A18" t="str">
            <v>201070 - Cost of Goods Sold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201075 - FREIGHT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201600 - Inter Department Transfers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Total - Cost Of Sales</v>
          </cell>
          <cell r="B21">
            <v>6942</v>
          </cell>
          <cell r="C21">
            <v>13513.5</v>
          </cell>
          <cell r="D21">
            <v>21645</v>
          </cell>
          <cell r="E21">
            <v>16711.5</v>
          </cell>
          <cell r="F21">
            <v>15951</v>
          </cell>
          <cell r="G21">
            <v>8287.5</v>
          </cell>
          <cell r="H21">
            <v>14098.5</v>
          </cell>
          <cell r="I21">
            <v>16965</v>
          </cell>
          <cell r="J21">
            <v>15541.5</v>
          </cell>
          <cell r="K21">
            <v>16906.5</v>
          </cell>
          <cell r="L21">
            <v>8326.5</v>
          </cell>
          <cell r="M21">
            <v>6006</v>
          </cell>
          <cell r="N21">
            <v>160894.5</v>
          </cell>
        </row>
        <row r="22">
          <cell r="A22" t="str">
            <v>Gross Profit</v>
          </cell>
          <cell r="B22">
            <v>10858</v>
          </cell>
          <cell r="C22">
            <v>21136.5</v>
          </cell>
          <cell r="D22">
            <v>33855</v>
          </cell>
          <cell r="E22">
            <v>26138.5</v>
          </cell>
          <cell r="F22">
            <v>24949</v>
          </cell>
          <cell r="G22">
            <v>12962.5</v>
          </cell>
          <cell r="H22">
            <v>22051.5</v>
          </cell>
          <cell r="I22">
            <v>26535</v>
          </cell>
          <cell r="J22">
            <v>24308.5</v>
          </cell>
          <cell r="K22">
            <v>26443.5</v>
          </cell>
          <cell r="L22">
            <v>13023.5</v>
          </cell>
          <cell r="M22">
            <v>9394</v>
          </cell>
          <cell r="N22">
            <v>251655.5</v>
          </cell>
        </row>
        <row r="23">
          <cell r="A23" t="str">
            <v>Expenses</v>
          </cell>
        </row>
        <row r="24">
          <cell r="A24" t="str">
            <v>ADMINISTRATIVE EXPENSES - ADMINISTRATIVE EXPENSES</v>
          </cell>
        </row>
        <row r="25">
          <cell r="A25" t="str">
            <v>305083 - Advertising &amp; Promotion</v>
          </cell>
          <cell r="B25">
            <v>15</v>
          </cell>
          <cell r="C25">
            <v>15</v>
          </cell>
          <cell r="D25">
            <v>15</v>
          </cell>
          <cell r="E25">
            <v>15</v>
          </cell>
          <cell r="F25">
            <v>15</v>
          </cell>
          <cell r="G25">
            <v>15</v>
          </cell>
          <cell r="H25">
            <v>15</v>
          </cell>
          <cell r="I25">
            <v>15</v>
          </cell>
          <cell r="J25">
            <v>15</v>
          </cell>
          <cell r="K25">
            <v>15</v>
          </cell>
          <cell r="L25">
            <v>15</v>
          </cell>
          <cell r="M25">
            <v>15</v>
          </cell>
          <cell r="N25">
            <v>180</v>
          </cell>
        </row>
        <row r="26">
          <cell r="A26" t="str">
            <v>305108 - Cleaning Contract</v>
          </cell>
          <cell r="B26">
            <v>256</v>
          </cell>
          <cell r="C26">
            <v>256</v>
          </cell>
          <cell r="D26">
            <v>256</v>
          </cell>
          <cell r="E26">
            <v>256</v>
          </cell>
          <cell r="F26">
            <v>256</v>
          </cell>
          <cell r="G26">
            <v>256</v>
          </cell>
          <cell r="H26">
            <v>256</v>
          </cell>
          <cell r="I26">
            <v>256</v>
          </cell>
          <cell r="J26">
            <v>256</v>
          </cell>
          <cell r="K26">
            <v>256</v>
          </cell>
          <cell r="L26">
            <v>256</v>
          </cell>
          <cell r="M26">
            <v>256</v>
          </cell>
          <cell r="N26">
            <v>3072</v>
          </cell>
          <cell r="O26" t="str">
            <v>Dunbar $900 / Xsential $800?/ Jaymak $682 x2</v>
          </cell>
        </row>
        <row r="27">
          <cell r="A27" t="str">
            <v>305109 - Cleaning Consumables</v>
          </cell>
          <cell r="B27">
            <v>130</v>
          </cell>
          <cell r="C27">
            <v>130</v>
          </cell>
          <cell r="D27">
            <v>130</v>
          </cell>
          <cell r="E27">
            <v>130</v>
          </cell>
          <cell r="F27">
            <v>130</v>
          </cell>
          <cell r="G27">
            <v>130</v>
          </cell>
          <cell r="H27">
            <v>130</v>
          </cell>
          <cell r="I27">
            <v>130</v>
          </cell>
          <cell r="J27">
            <v>130</v>
          </cell>
          <cell r="K27">
            <v>130</v>
          </cell>
          <cell r="L27">
            <v>130</v>
          </cell>
          <cell r="M27">
            <v>130</v>
          </cell>
          <cell r="N27">
            <v>1560</v>
          </cell>
        </row>
        <row r="28">
          <cell r="A28" t="str">
            <v>305111 - Communication Expenses</v>
          </cell>
          <cell r="B28">
            <v>20</v>
          </cell>
          <cell r="C28">
            <v>20</v>
          </cell>
          <cell r="D28">
            <v>20</v>
          </cell>
          <cell r="E28">
            <v>20</v>
          </cell>
          <cell r="F28">
            <v>20</v>
          </cell>
          <cell r="G28">
            <v>20</v>
          </cell>
          <cell r="H28">
            <v>20</v>
          </cell>
          <cell r="I28">
            <v>20</v>
          </cell>
          <cell r="J28">
            <v>20</v>
          </cell>
          <cell r="K28">
            <v>20</v>
          </cell>
          <cell r="L28">
            <v>20</v>
          </cell>
          <cell r="M28">
            <v>20</v>
          </cell>
          <cell r="N28">
            <v>240</v>
          </cell>
          <cell r="O28" t="str">
            <v>Mutya</v>
          </cell>
        </row>
        <row r="29">
          <cell r="A29" t="str">
            <v>305112 - Paper Products &amp; Packaging</v>
          </cell>
          <cell r="B29">
            <v>750</v>
          </cell>
          <cell r="C29">
            <v>750</v>
          </cell>
          <cell r="D29">
            <v>750</v>
          </cell>
          <cell r="E29">
            <v>750</v>
          </cell>
          <cell r="F29">
            <v>750</v>
          </cell>
          <cell r="G29">
            <v>750</v>
          </cell>
          <cell r="H29">
            <v>750</v>
          </cell>
          <cell r="I29">
            <v>750</v>
          </cell>
          <cell r="J29">
            <v>750</v>
          </cell>
          <cell r="K29">
            <v>750</v>
          </cell>
          <cell r="L29">
            <v>750</v>
          </cell>
          <cell r="M29">
            <v>750</v>
          </cell>
          <cell r="N29">
            <v>9000</v>
          </cell>
        </row>
        <row r="30">
          <cell r="A30" t="str">
            <v>305114 - Computer Expenses</v>
          </cell>
          <cell r="B30">
            <v>1000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1000</v>
          </cell>
          <cell r="O30" t="str">
            <v>Mutya</v>
          </cell>
        </row>
        <row r="31">
          <cell r="A31" t="str">
            <v>305132 - Utilities</v>
          </cell>
          <cell r="B31">
            <v>1400</v>
          </cell>
          <cell r="C31">
            <v>1600</v>
          </cell>
          <cell r="D31">
            <v>1800</v>
          </cell>
          <cell r="E31">
            <v>1550</v>
          </cell>
          <cell r="F31">
            <v>1600</v>
          </cell>
          <cell r="G31">
            <v>1400</v>
          </cell>
          <cell r="H31">
            <v>1400</v>
          </cell>
          <cell r="I31">
            <v>1550</v>
          </cell>
          <cell r="J31">
            <v>1600</v>
          </cell>
          <cell r="K31">
            <v>1800</v>
          </cell>
          <cell r="L31">
            <v>1500</v>
          </cell>
          <cell r="M31">
            <v>1600</v>
          </cell>
          <cell r="N31">
            <v>18800</v>
          </cell>
          <cell r="O31" t="str">
            <v>Mutya</v>
          </cell>
        </row>
        <row r="32">
          <cell r="A32" t="str">
            <v>305147 - General Expenses</v>
          </cell>
          <cell r="B32">
            <v>40</v>
          </cell>
          <cell r="C32">
            <v>40</v>
          </cell>
          <cell r="D32">
            <v>40</v>
          </cell>
          <cell r="E32">
            <v>40</v>
          </cell>
          <cell r="F32">
            <v>40</v>
          </cell>
          <cell r="G32">
            <v>40</v>
          </cell>
          <cell r="H32">
            <v>40</v>
          </cell>
          <cell r="I32">
            <v>40</v>
          </cell>
          <cell r="J32">
            <v>40</v>
          </cell>
          <cell r="K32">
            <v>40</v>
          </cell>
          <cell r="L32">
            <v>40</v>
          </cell>
          <cell r="M32">
            <v>40</v>
          </cell>
          <cell r="N32">
            <v>480</v>
          </cell>
          <cell r="O32" t="str">
            <v>LY: $540/ YTD $200</v>
          </cell>
        </row>
        <row r="33">
          <cell r="A33" t="str">
            <v>305156 - Laundry</v>
          </cell>
          <cell r="B33">
            <v>40</v>
          </cell>
          <cell r="C33">
            <v>50</v>
          </cell>
          <cell r="D33">
            <v>90</v>
          </cell>
          <cell r="E33">
            <v>65</v>
          </cell>
          <cell r="F33">
            <v>60</v>
          </cell>
          <cell r="G33">
            <v>45</v>
          </cell>
          <cell r="H33">
            <v>45</v>
          </cell>
          <cell r="I33">
            <v>50</v>
          </cell>
          <cell r="J33">
            <v>90</v>
          </cell>
          <cell r="K33">
            <v>90</v>
          </cell>
          <cell r="L33">
            <v>50</v>
          </cell>
          <cell r="M33">
            <v>40</v>
          </cell>
          <cell r="N33">
            <v>715</v>
          </cell>
        </row>
        <row r="34">
          <cell r="A34" t="str">
            <v>305162 - Licence &amp; Permits</v>
          </cell>
          <cell r="B34">
            <v>44</v>
          </cell>
          <cell r="C34">
            <v>44</v>
          </cell>
          <cell r="D34">
            <v>44</v>
          </cell>
          <cell r="E34">
            <v>44</v>
          </cell>
          <cell r="F34">
            <v>44</v>
          </cell>
          <cell r="G34">
            <v>44</v>
          </cell>
          <cell r="H34">
            <v>44</v>
          </cell>
          <cell r="I34">
            <v>44</v>
          </cell>
          <cell r="J34">
            <v>44</v>
          </cell>
          <cell r="K34">
            <v>44</v>
          </cell>
          <cell r="L34">
            <v>44</v>
          </cell>
          <cell r="M34">
            <v>44</v>
          </cell>
          <cell r="N34">
            <v>528</v>
          </cell>
          <cell r="O34" t="str">
            <v>City of Perth $260 x 2 = $520</v>
          </cell>
        </row>
        <row r="35">
          <cell r="A35" t="str">
            <v>305168 - Occupational  Health &amp; Safety</v>
          </cell>
          <cell r="B35">
            <v>14</v>
          </cell>
          <cell r="C35">
            <v>14</v>
          </cell>
          <cell r="D35">
            <v>14</v>
          </cell>
          <cell r="E35">
            <v>14</v>
          </cell>
          <cell r="F35">
            <v>14</v>
          </cell>
          <cell r="G35">
            <v>14</v>
          </cell>
          <cell r="H35">
            <v>14</v>
          </cell>
          <cell r="I35">
            <v>14</v>
          </cell>
          <cell r="J35">
            <v>14</v>
          </cell>
          <cell r="K35">
            <v>14</v>
          </cell>
          <cell r="L35">
            <v>14</v>
          </cell>
          <cell r="M35">
            <v>14</v>
          </cell>
          <cell r="N35">
            <v>168</v>
          </cell>
          <cell r="O35" t="str">
            <v>First Aid Kit $81 x2</v>
          </cell>
        </row>
        <row r="36">
          <cell r="A36" t="str">
            <v>305180 - Printing &amp; Stationery</v>
          </cell>
          <cell r="B36">
            <v>35</v>
          </cell>
          <cell r="C36">
            <v>35</v>
          </cell>
          <cell r="D36">
            <v>35</v>
          </cell>
          <cell r="E36">
            <v>35</v>
          </cell>
          <cell r="F36">
            <v>35</v>
          </cell>
          <cell r="G36">
            <v>35</v>
          </cell>
          <cell r="H36">
            <v>35</v>
          </cell>
          <cell r="I36">
            <v>35</v>
          </cell>
          <cell r="J36">
            <v>35</v>
          </cell>
          <cell r="K36">
            <v>35</v>
          </cell>
          <cell r="L36">
            <v>35</v>
          </cell>
          <cell r="M36">
            <v>35</v>
          </cell>
          <cell r="N36">
            <v>420</v>
          </cell>
        </row>
        <row r="37">
          <cell r="A37" t="str">
            <v>305185 - Minor Assets</v>
          </cell>
          <cell r="B37">
            <v>75</v>
          </cell>
          <cell r="C37">
            <v>75</v>
          </cell>
          <cell r="D37">
            <v>75</v>
          </cell>
          <cell r="E37">
            <v>75</v>
          </cell>
          <cell r="F37">
            <v>75</v>
          </cell>
          <cell r="G37">
            <v>75</v>
          </cell>
          <cell r="H37">
            <v>75</v>
          </cell>
          <cell r="I37">
            <v>75</v>
          </cell>
          <cell r="J37">
            <v>75</v>
          </cell>
          <cell r="K37">
            <v>75</v>
          </cell>
          <cell r="L37">
            <v>75</v>
          </cell>
          <cell r="M37">
            <v>75</v>
          </cell>
          <cell r="N37">
            <v>900</v>
          </cell>
        </row>
        <row r="38">
          <cell r="A38" t="str">
            <v>305187 - Software Digital</v>
          </cell>
          <cell r="B38">
            <v>250</v>
          </cell>
          <cell r="C38">
            <v>250</v>
          </cell>
          <cell r="D38">
            <v>250</v>
          </cell>
          <cell r="E38">
            <v>250</v>
          </cell>
          <cell r="F38">
            <v>250</v>
          </cell>
          <cell r="G38">
            <v>250</v>
          </cell>
          <cell r="H38">
            <v>250</v>
          </cell>
          <cell r="I38">
            <v>250</v>
          </cell>
          <cell r="J38">
            <v>250</v>
          </cell>
          <cell r="K38">
            <v>250</v>
          </cell>
          <cell r="L38">
            <v>250</v>
          </cell>
          <cell r="M38">
            <v>250</v>
          </cell>
          <cell r="N38">
            <v>3000</v>
          </cell>
          <cell r="O38" t="str">
            <v>Mutya</v>
          </cell>
        </row>
        <row r="39">
          <cell r="A39" t="str">
            <v>305189 - Repairs &amp; Maintenance</v>
          </cell>
          <cell r="B39">
            <v>250</v>
          </cell>
          <cell r="C39">
            <v>250</v>
          </cell>
          <cell r="D39">
            <v>250</v>
          </cell>
          <cell r="E39">
            <v>250</v>
          </cell>
          <cell r="F39">
            <v>250</v>
          </cell>
          <cell r="G39">
            <v>250</v>
          </cell>
          <cell r="H39">
            <v>250</v>
          </cell>
          <cell r="I39">
            <v>250</v>
          </cell>
          <cell r="J39">
            <v>250</v>
          </cell>
          <cell r="K39">
            <v>250</v>
          </cell>
          <cell r="L39">
            <v>250</v>
          </cell>
          <cell r="M39">
            <v>250</v>
          </cell>
          <cell r="N39">
            <v>3000</v>
          </cell>
        </row>
        <row r="40">
          <cell r="A40" t="str">
            <v>305197 - Replacement of Glass/Cutlery</v>
          </cell>
          <cell r="B40">
            <v>10</v>
          </cell>
          <cell r="C40">
            <v>10</v>
          </cell>
          <cell r="D40">
            <v>10</v>
          </cell>
          <cell r="E40">
            <v>10</v>
          </cell>
          <cell r="F40">
            <v>10</v>
          </cell>
          <cell r="G40">
            <v>10</v>
          </cell>
          <cell r="H40">
            <v>10</v>
          </cell>
          <cell r="I40">
            <v>10</v>
          </cell>
          <cell r="J40">
            <v>10</v>
          </cell>
          <cell r="K40">
            <v>10</v>
          </cell>
          <cell r="L40">
            <v>10</v>
          </cell>
          <cell r="M40">
            <v>10</v>
          </cell>
          <cell r="N40">
            <v>120</v>
          </cell>
        </row>
        <row r="41">
          <cell r="A41" t="str">
            <v>305219 - Subscriptions</v>
          </cell>
          <cell r="B41">
            <v>125</v>
          </cell>
          <cell r="C41">
            <v>125</v>
          </cell>
          <cell r="D41">
            <v>125</v>
          </cell>
          <cell r="E41">
            <v>125</v>
          </cell>
          <cell r="F41">
            <v>125</v>
          </cell>
          <cell r="G41">
            <v>125</v>
          </cell>
          <cell r="H41">
            <v>125</v>
          </cell>
          <cell r="I41">
            <v>125</v>
          </cell>
          <cell r="J41">
            <v>125</v>
          </cell>
          <cell r="K41">
            <v>125</v>
          </cell>
          <cell r="L41">
            <v>125</v>
          </cell>
          <cell r="M41">
            <v>125</v>
          </cell>
          <cell r="N41">
            <v>1500</v>
          </cell>
          <cell r="O41" t="str">
            <v>buzzers + newspapers</v>
          </cell>
        </row>
        <row r="42">
          <cell r="A42" t="str">
            <v>305225 - Uniforms</v>
          </cell>
          <cell r="B42">
            <v>15</v>
          </cell>
          <cell r="C42">
            <v>15</v>
          </cell>
          <cell r="D42">
            <v>15</v>
          </cell>
          <cell r="E42">
            <v>15</v>
          </cell>
          <cell r="F42">
            <v>15</v>
          </cell>
          <cell r="G42">
            <v>15</v>
          </cell>
          <cell r="H42">
            <v>15</v>
          </cell>
          <cell r="I42">
            <v>15</v>
          </cell>
          <cell r="J42">
            <v>15</v>
          </cell>
          <cell r="K42">
            <v>15</v>
          </cell>
          <cell r="L42">
            <v>15</v>
          </cell>
          <cell r="M42">
            <v>15</v>
          </cell>
          <cell r="N42">
            <v>180</v>
          </cell>
        </row>
        <row r="43">
          <cell r="A43" t="str">
            <v>305228 - Waste Control</v>
          </cell>
          <cell r="B43">
            <v>350</v>
          </cell>
          <cell r="C43">
            <v>350</v>
          </cell>
          <cell r="D43">
            <v>350</v>
          </cell>
          <cell r="E43">
            <v>350</v>
          </cell>
          <cell r="F43">
            <v>350</v>
          </cell>
          <cell r="G43">
            <v>350</v>
          </cell>
          <cell r="H43">
            <v>350</v>
          </cell>
          <cell r="I43">
            <v>350</v>
          </cell>
          <cell r="J43">
            <v>350</v>
          </cell>
          <cell r="K43">
            <v>350</v>
          </cell>
          <cell r="L43">
            <v>350</v>
          </cell>
          <cell r="M43">
            <v>350</v>
          </cell>
          <cell r="N43">
            <v>4200</v>
          </cell>
          <cell r="O43" t="str">
            <v>Cleanaway</v>
          </cell>
          <cell r="Q43" t="str">
            <v>less frequent collections</v>
          </cell>
        </row>
        <row r="44">
          <cell r="A44" t="str">
            <v>306001 - Depreciation - Plant &amp; Equipment</v>
          </cell>
          <cell r="B44">
            <v>382.94</v>
          </cell>
          <cell r="C44">
            <v>382.94</v>
          </cell>
          <cell r="D44">
            <v>382.94</v>
          </cell>
          <cell r="E44">
            <v>382.94</v>
          </cell>
          <cell r="F44">
            <v>382.94</v>
          </cell>
          <cell r="G44">
            <v>382.94</v>
          </cell>
          <cell r="H44">
            <v>382.94</v>
          </cell>
          <cell r="I44">
            <v>382.94</v>
          </cell>
          <cell r="J44">
            <v>382.94</v>
          </cell>
          <cell r="K44">
            <v>382.94</v>
          </cell>
          <cell r="L44">
            <v>382.94</v>
          </cell>
          <cell r="M44">
            <v>382.94</v>
          </cell>
          <cell r="N44">
            <v>4595.28</v>
          </cell>
          <cell r="O44" t="str">
            <v>Mutya</v>
          </cell>
        </row>
        <row r="45">
          <cell r="A45" t="str">
            <v>306005 - Depreciation - Property</v>
          </cell>
          <cell r="B45">
            <v>142.15</v>
          </cell>
          <cell r="C45">
            <v>142.15</v>
          </cell>
          <cell r="D45">
            <v>142.15</v>
          </cell>
          <cell r="E45">
            <v>142.15</v>
          </cell>
          <cell r="F45">
            <v>142.15</v>
          </cell>
          <cell r="G45">
            <v>142.15</v>
          </cell>
          <cell r="H45">
            <v>142.15</v>
          </cell>
          <cell r="I45">
            <v>142.15</v>
          </cell>
          <cell r="J45">
            <v>142.15</v>
          </cell>
          <cell r="K45">
            <v>142.15</v>
          </cell>
          <cell r="L45">
            <v>142.15</v>
          </cell>
          <cell r="M45">
            <v>142.15</v>
          </cell>
          <cell r="N45">
            <v>1705.8000000000004</v>
          </cell>
          <cell r="O45" t="str">
            <v>Mutya</v>
          </cell>
        </row>
        <row r="46">
          <cell r="A46" t="str">
            <v>305102 - Bank Charges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 t="str">
            <v>Mutya</v>
          </cell>
          <cell r="P46" t="str">
            <v>please complete</v>
          </cell>
        </row>
        <row r="47">
          <cell r="A47" t="str">
            <v>Total - ADMINISTRATIVE EXPENSES - ADMINISTRATIVE EXPENSES</v>
          </cell>
          <cell r="B47">
            <v>5329.0899999999992</v>
          </cell>
          <cell r="C47">
            <v>4539.0899999999992</v>
          </cell>
          <cell r="D47">
            <v>4779.0899999999992</v>
          </cell>
          <cell r="E47">
            <v>4504.0899999999992</v>
          </cell>
          <cell r="F47">
            <v>4549.0899999999992</v>
          </cell>
          <cell r="G47">
            <v>4334.0899999999992</v>
          </cell>
          <cell r="H47">
            <v>4334.0899999999992</v>
          </cell>
          <cell r="I47">
            <v>4489.0899999999992</v>
          </cell>
          <cell r="J47">
            <v>4579.0899999999992</v>
          </cell>
          <cell r="K47">
            <v>4779.0899999999992</v>
          </cell>
          <cell r="L47">
            <v>4439.0899999999992</v>
          </cell>
          <cell r="M47">
            <v>4529.0899999999992</v>
          </cell>
          <cell r="N47">
            <v>55364.08</v>
          </cell>
        </row>
        <row r="48">
          <cell r="A48" t="str">
            <v>EMPLOYEE BENEFITS EXPENSE - EMPLOYEE BENEFITS EXPENSE</v>
          </cell>
          <cell r="B48">
            <v>0.52022471910112356</v>
          </cell>
          <cell r="C48">
            <v>0.35382395382395382</v>
          </cell>
          <cell r="D48">
            <v>0.33333333333333331</v>
          </cell>
          <cell r="E48">
            <v>0.35556592765460909</v>
          </cell>
          <cell r="F48">
            <v>0.32361858190709047</v>
          </cell>
          <cell r="G48">
            <v>0.35294117647058826</v>
          </cell>
          <cell r="H48">
            <v>0.33759336099585063</v>
          </cell>
          <cell r="I48">
            <v>0.30367816091954025</v>
          </cell>
          <cell r="J48">
            <v>0.32511919698870767</v>
          </cell>
          <cell r="K48">
            <v>0.30459054209919262</v>
          </cell>
          <cell r="L48">
            <v>0.46651053864168618</v>
          </cell>
          <cell r="M48">
            <v>0.51727272727272722</v>
          </cell>
          <cell r="N48">
            <v>0.35266513149921219</v>
          </cell>
        </row>
        <row r="49">
          <cell r="A49" t="str">
            <v>304001 - Salaries &amp; Wages - Permanent Staff</v>
          </cell>
          <cell r="B49">
            <v>4760</v>
          </cell>
          <cell r="C49">
            <v>4760</v>
          </cell>
          <cell r="D49">
            <v>5000</v>
          </cell>
          <cell r="E49">
            <v>5236</v>
          </cell>
          <cell r="F49">
            <v>5236</v>
          </cell>
          <cell r="G49">
            <v>5000</v>
          </cell>
          <cell r="H49">
            <v>5704</v>
          </cell>
          <cell r="I49">
            <v>5210</v>
          </cell>
          <cell r="J49">
            <v>5456</v>
          </cell>
          <cell r="K49">
            <v>5704</v>
          </cell>
          <cell r="L49">
            <v>4960</v>
          </cell>
          <cell r="M49">
            <v>4216</v>
          </cell>
          <cell r="N49">
            <v>61242</v>
          </cell>
        </row>
        <row r="50">
          <cell r="A50" t="str">
            <v>304004 - Salaries &amp; Wages - Other</v>
          </cell>
          <cell r="B50">
            <v>4500</v>
          </cell>
          <cell r="C50">
            <v>7500</v>
          </cell>
          <cell r="D50">
            <v>13500</v>
          </cell>
          <cell r="E50">
            <v>10000</v>
          </cell>
          <cell r="F50">
            <v>8000</v>
          </cell>
          <cell r="G50">
            <v>2500</v>
          </cell>
          <cell r="H50">
            <v>6500</v>
          </cell>
          <cell r="I50">
            <v>8000</v>
          </cell>
          <cell r="J50">
            <v>7500</v>
          </cell>
          <cell r="K50">
            <v>7500</v>
          </cell>
          <cell r="L50">
            <v>5000</v>
          </cell>
          <cell r="M50">
            <v>3750</v>
          </cell>
          <cell r="N50">
            <v>84250</v>
          </cell>
        </row>
        <row r="51">
          <cell r="A51" t="str">
            <v>304010 - Superannuation</v>
          </cell>
          <cell r="B51">
            <v>1140.997702595</v>
          </cell>
          <cell r="C51">
            <v>1494.622702595</v>
          </cell>
          <cell r="D51">
            <v>2232.6572506250004</v>
          </cell>
          <cell r="E51">
            <v>1850.3662228544999</v>
          </cell>
          <cell r="F51">
            <v>1614.6162228544999</v>
          </cell>
          <cell r="G51">
            <v>936.03225062499996</v>
          </cell>
          <cell r="H51">
            <v>1562.9567911439999</v>
          </cell>
          <cell r="I51">
            <v>1681.3369358100001</v>
          </cell>
          <cell r="J51">
            <v>1652.7630176160001</v>
          </cell>
          <cell r="K51">
            <v>1685.9567911439999</v>
          </cell>
          <cell r="L51">
            <v>1278.8754705600002</v>
          </cell>
          <cell r="M51">
            <v>1025.544149976</v>
          </cell>
          <cell r="N51">
            <v>18156.725508399002</v>
          </cell>
        </row>
        <row r="52">
          <cell r="A52" t="str">
            <v>304013 - Workers Compensation Insurance</v>
          </cell>
          <cell r="B52">
            <v>94.256331953499995</v>
          </cell>
          <cell r="C52">
            <v>123.4688319535</v>
          </cell>
          <cell r="D52">
            <v>184.43690331250002</v>
          </cell>
          <cell r="E52">
            <v>152.85634014884999</v>
          </cell>
          <cell r="F52">
            <v>133.38134014885</v>
          </cell>
          <cell r="G52">
            <v>77.324403312499996</v>
          </cell>
          <cell r="H52">
            <v>123.7340792989</v>
          </cell>
          <cell r="I52">
            <v>133.10584075162501</v>
          </cell>
          <cell r="J52">
            <v>130.84373889459999</v>
          </cell>
          <cell r="K52">
            <v>133.4715792989</v>
          </cell>
          <cell r="L52">
            <v>101.244308086</v>
          </cell>
          <cell r="M52">
            <v>81.188911873099997</v>
          </cell>
          <cell r="N52">
            <v>1469.3126090328251</v>
          </cell>
        </row>
        <row r="53">
          <cell r="A53" t="str">
            <v>304016 - Annual Leave Provision</v>
          </cell>
          <cell r="B53">
            <v>430.21915300000001</v>
          </cell>
          <cell r="C53">
            <v>430.21915300000001</v>
          </cell>
          <cell r="D53">
            <v>451.91087500000003</v>
          </cell>
          <cell r="E53">
            <v>473.24106829999999</v>
          </cell>
          <cell r="F53">
            <v>473.24106829999999</v>
          </cell>
          <cell r="G53">
            <v>451.91087500000003</v>
          </cell>
          <cell r="H53">
            <v>515.53992619999997</v>
          </cell>
          <cell r="I53">
            <v>470.89113175000006</v>
          </cell>
          <cell r="J53">
            <v>493.1251468000001</v>
          </cell>
          <cell r="K53">
            <v>515.53992619999997</v>
          </cell>
          <cell r="L53">
            <v>448.29558800000001</v>
          </cell>
          <cell r="M53">
            <v>381.05124980000005</v>
          </cell>
          <cell r="N53">
            <v>5535.1851613500003</v>
          </cell>
        </row>
        <row r="54">
          <cell r="A54" t="str">
            <v>304019 - Long Service Leave Provision</v>
          </cell>
          <cell r="B54">
            <v>231.5</v>
          </cell>
          <cell r="C54">
            <v>306.5</v>
          </cell>
          <cell r="D54">
            <v>462.5</v>
          </cell>
          <cell r="E54">
            <v>380.90000000000003</v>
          </cell>
          <cell r="F54">
            <v>330.90000000000003</v>
          </cell>
          <cell r="G54">
            <v>187.5</v>
          </cell>
          <cell r="H54">
            <v>305.10000000000002</v>
          </cell>
          <cell r="I54">
            <v>330.25</v>
          </cell>
          <cell r="J54">
            <v>323.90000000000003</v>
          </cell>
          <cell r="K54">
            <v>330.1</v>
          </cell>
          <cell r="L54">
            <v>249</v>
          </cell>
          <cell r="M54">
            <v>199.15</v>
          </cell>
          <cell r="N54">
            <v>3637.3</v>
          </cell>
        </row>
        <row r="55">
          <cell r="A55" t="str">
            <v>Total - EMPLOYEE BENEFITS EXPENSE - EMPLOYEE BENEFITS EXPENSE</v>
          </cell>
          <cell r="B55">
            <v>11156.973187548499</v>
          </cell>
          <cell r="C55">
            <v>14614.810687548499</v>
          </cell>
          <cell r="D55">
            <v>21831.505028937503</v>
          </cell>
          <cell r="E55">
            <v>18093.363631303353</v>
          </cell>
          <cell r="F55">
            <v>15788.138631303349</v>
          </cell>
          <cell r="G55">
            <v>9152.7675289374984</v>
          </cell>
          <cell r="H55">
            <v>14711.330796642898</v>
          </cell>
          <cell r="I55">
            <v>15825.583908311626</v>
          </cell>
          <cell r="J55">
            <v>15556.631903310601</v>
          </cell>
          <cell r="K55">
            <v>15869.068296642899</v>
          </cell>
          <cell r="L55">
            <v>12037.415366646001</v>
          </cell>
          <cell r="M55">
            <v>9652.9343116491</v>
          </cell>
          <cell r="N55">
            <v>174290.52327878182</v>
          </cell>
        </row>
        <row r="56">
          <cell r="A56" t="str">
            <v>Total - Expenses</v>
          </cell>
          <cell r="B56">
            <v>16486.063187548498</v>
          </cell>
          <cell r="C56">
            <v>19153.900687548499</v>
          </cell>
          <cell r="D56">
            <v>26610.595028937503</v>
          </cell>
          <cell r="E56">
            <v>22597.453631303353</v>
          </cell>
          <cell r="F56">
            <v>20337.228631303347</v>
          </cell>
          <cell r="G56">
            <v>13486.857528937497</v>
          </cell>
          <cell r="H56">
            <v>19045.420796642898</v>
          </cell>
          <cell r="I56">
            <v>20314.673908311626</v>
          </cell>
          <cell r="J56">
            <v>20135.721903310601</v>
          </cell>
          <cell r="K56">
            <v>20648.158296642898</v>
          </cell>
          <cell r="L56">
            <v>16476.505366646001</v>
          </cell>
          <cell r="M56">
            <v>14182.0243116491</v>
          </cell>
          <cell r="N56">
            <v>229654.60327878181</v>
          </cell>
        </row>
        <row r="57">
          <cell r="A57" t="str">
            <v>Operating Profit</v>
          </cell>
          <cell r="B57">
            <v>-5628.0631875484978</v>
          </cell>
          <cell r="C57">
            <v>1982.5993124515007</v>
          </cell>
          <cell r="D57">
            <v>7244.4049710624968</v>
          </cell>
          <cell r="E57">
            <v>3541.0463686966468</v>
          </cell>
          <cell r="F57">
            <v>4611.7713686966526</v>
          </cell>
          <cell r="G57">
            <v>-524.35752893749668</v>
          </cell>
          <cell r="H57">
            <v>3006.0792033571015</v>
          </cell>
          <cell r="I57">
            <v>6220.3260916883737</v>
          </cell>
          <cell r="J57">
            <v>4172.7780966893988</v>
          </cell>
          <cell r="K57">
            <v>5795.3417033571022</v>
          </cell>
          <cell r="L57">
            <v>-3453.0053666460008</v>
          </cell>
          <cell r="M57">
            <v>-4788.0243116491001</v>
          </cell>
          <cell r="N57">
            <v>22000.896721218189</v>
          </cell>
        </row>
        <row r="58">
          <cell r="A58" t="str">
            <v>Net Profit/(Loss)</v>
          </cell>
          <cell r="B58">
            <v>-5628.0631875484978</v>
          </cell>
          <cell r="C58">
            <v>1982.5993124515007</v>
          </cell>
          <cell r="D58">
            <v>7244.4049710624968</v>
          </cell>
          <cell r="E58">
            <v>3541.0463686966468</v>
          </cell>
          <cell r="F58">
            <v>4611.7713686966526</v>
          </cell>
          <cell r="G58">
            <v>-524.35752893749668</v>
          </cell>
          <cell r="H58">
            <v>3006.0792033571015</v>
          </cell>
          <cell r="I58">
            <v>6220.3260916883737</v>
          </cell>
          <cell r="J58">
            <v>4172.7780966893988</v>
          </cell>
          <cell r="K58">
            <v>5795.3417033571022</v>
          </cell>
          <cell r="L58">
            <v>-3453.0053666460008</v>
          </cell>
          <cell r="M58">
            <v>-4788.0243116491001</v>
          </cell>
          <cell r="N58">
            <v>22000.896721218189</v>
          </cell>
          <cell r="O58" t="str">
            <v>goal $12-15k</v>
          </cell>
        </row>
        <row r="60">
          <cell r="D60" t="str">
            <v>ramadan not budgeted</v>
          </cell>
          <cell r="I60" t="str">
            <v>booksale not budgeted</v>
          </cell>
          <cell r="M60" t="str">
            <v>graduations not budgeted</v>
          </cell>
        </row>
      </sheetData>
      <sheetData sheetId="9">
        <row r="1">
          <cell r="A1" t="str">
            <v>Guild of Undergraduates</v>
          </cell>
        </row>
        <row r="2">
          <cell r="A2" t="str">
            <v>Budget Profit and Loss</v>
          </cell>
        </row>
        <row r="3">
          <cell r="A3" t="str">
            <v>FY 2025</v>
          </cell>
        </row>
        <row r="4">
          <cell r="A4" t="str">
            <v>KITCHEN</v>
          </cell>
        </row>
        <row r="5">
          <cell r="A5" t="str">
            <v/>
          </cell>
        </row>
        <row r="6">
          <cell r="A6" t="str">
            <v>Financial Row</v>
          </cell>
          <cell r="B6">
            <v>45658</v>
          </cell>
          <cell r="C6">
            <v>45689</v>
          </cell>
          <cell r="D6">
            <v>45717</v>
          </cell>
          <cell r="E6">
            <v>45748</v>
          </cell>
          <cell r="F6">
            <v>45778</v>
          </cell>
          <cell r="G6">
            <v>45809</v>
          </cell>
          <cell r="H6">
            <v>45839</v>
          </cell>
          <cell r="I6">
            <v>45870</v>
          </cell>
          <cell r="J6">
            <v>45901</v>
          </cell>
          <cell r="K6">
            <v>45931</v>
          </cell>
          <cell r="L6">
            <v>45962</v>
          </cell>
          <cell r="M6">
            <v>45992</v>
          </cell>
          <cell r="N6" t="str">
            <v>Total</v>
          </cell>
        </row>
        <row r="7">
          <cell r="A7" t="str">
            <v> </v>
          </cell>
          <cell r="B7" t="str">
            <v>Amount</v>
          </cell>
          <cell r="C7" t="str">
            <v>Amount</v>
          </cell>
          <cell r="D7" t="str">
            <v>Amount</v>
          </cell>
          <cell r="E7" t="str">
            <v>Amount</v>
          </cell>
          <cell r="F7" t="str">
            <v>Amount</v>
          </cell>
          <cell r="G7" t="str">
            <v>Amount</v>
          </cell>
          <cell r="H7" t="str">
            <v>Amount</v>
          </cell>
          <cell r="I7" t="str">
            <v>Amount</v>
          </cell>
          <cell r="J7" t="str">
            <v>Amount</v>
          </cell>
          <cell r="K7" t="str">
            <v>Amount</v>
          </cell>
          <cell r="L7" t="str">
            <v>Amount</v>
          </cell>
          <cell r="M7" t="str">
            <v>Amount</v>
          </cell>
          <cell r="N7" t="str">
            <v>Amount</v>
          </cell>
        </row>
        <row r="8">
          <cell r="A8" t="str">
            <v>Cost Of Sales</v>
          </cell>
        </row>
        <row r="9">
          <cell r="A9" t="str">
            <v>201601 - Inter Department Transfer: Labour</v>
          </cell>
          <cell r="B9">
            <v>-6500</v>
          </cell>
          <cell r="C9">
            <v>-12000</v>
          </cell>
          <cell r="D9">
            <v>-14000</v>
          </cell>
          <cell r="E9">
            <v>-15000</v>
          </cell>
          <cell r="F9">
            <v>-22000</v>
          </cell>
          <cell r="G9">
            <v>-8000</v>
          </cell>
          <cell r="H9">
            <v>-12000</v>
          </cell>
          <cell r="I9">
            <v>-20000</v>
          </cell>
          <cell r="J9">
            <v>-15000</v>
          </cell>
          <cell r="K9">
            <v>-15000</v>
          </cell>
          <cell r="L9">
            <v>-6500</v>
          </cell>
          <cell r="M9">
            <v>-5000</v>
          </cell>
          <cell r="N9">
            <v>-151000</v>
          </cell>
        </row>
        <row r="10">
          <cell r="A10" t="str">
            <v>Total - Cost Of Sales</v>
          </cell>
          <cell r="B10">
            <v>-6500</v>
          </cell>
          <cell r="C10">
            <v>-12000</v>
          </cell>
          <cell r="D10">
            <v>-14000</v>
          </cell>
          <cell r="E10">
            <v>-15000</v>
          </cell>
          <cell r="F10">
            <v>-22000</v>
          </cell>
          <cell r="G10">
            <v>-8000</v>
          </cell>
          <cell r="H10">
            <v>-12000</v>
          </cell>
          <cell r="I10">
            <v>-20000</v>
          </cell>
          <cell r="J10">
            <v>-15000</v>
          </cell>
          <cell r="K10">
            <v>-15000</v>
          </cell>
          <cell r="L10">
            <v>-6500</v>
          </cell>
          <cell r="M10">
            <v>-5000</v>
          </cell>
          <cell r="N10">
            <v>-151000</v>
          </cell>
        </row>
        <row r="11">
          <cell r="A11" t="str">
            <v>Gross Profit</v>
          </cell>
          <cell r="B11">
            <v>6500</v>
          </cell>
          <cell r="C11">
            <v>12000</v>
          </cell>
          <cell r="D11">
            <v>14000</v>
          </cell>
          <cell r="E11">
            <v>15000</v>
          </cell>
          <cell r="F11">
            <v>22000</v>
          </cell>
          <cell r="G11">
            <v>8000</v>
          </cell>
          <cell r="H11">
            <v>12000</v>
          </cell>
          <cell r="I11">
            <v>20000</v>
          </cell>
          <cell r="J11">
            <v>15000</v>
          </cell>
          <cell r="K11">
            <v>15000</v>
          </cell>
          <cell r="L11">
            <v>6500</v>
          </cell>
          <cell r="M11">
            <v>5000</v>
          </cell>
          <cell r="N11">
            <v>151000</v>
          </cell>
        </row>
        <row r="12">
          <cell r="A12" t="str">
            <v>Expenses</v>
          </cell>
        </row>
        <row r="13">
          <cell r="A13" t="str">
            <v>ADMINISTRATIVE EXPENSES - ADMINISTRATIVE EXPENSES</v>
          </cell>
        </row>
        <row r="14">
          <cell r="A14" t="str">
            <v>305108 - Cleaning Contract</v>
          </cell>
          <cell r="B14">
            <v>180</v>
          </cell>
          <cell r="C14">
            <v>1650</v>
          </cell>
          <cell r="D14">
            <v>220</v>
          </cell>
          <cell r="E14">
            <v>250</v>
          </cell>
          <cell r="F14">
            <v>220</v>
          </cell>
          <cell r="G14">
            <v>2000</v>
          </cell>
          <cell r="H14">
            <v>220</v>
          </cell>
          <cell r="I14">
            <v>250</v>
          </cell>
          <cell r="J14">
            <v>1519</v>
          </cell>
          <cell r="K14">
            <v>250</v>
          </cell>
          <cell r="L14">
            <v>2300</v>
          </cell>
          <cell r="M14">
            <v>180</v>
          </cell>
          <cell r="N14">
            <v>9239</v>
          </cell>
        </row>
        <row r="15">
          <cell r="A15" t="str">
            <v>305109 - Cleaning Consumables</v>
          </cell>
          <cell r="B15">
            <v>100</v>
          </cell>
          <cell r="C15">
            <v>100</v>
          </cell>
          <cell r="D15">
            <v>100</v>
          </cell>
          <cell r="E15">
            <v>100</v>
          </cell>
          <cell r="F15">
            <v>100</v>
          </cell>
          <cell r="G15">
            <v>100</v>
          </cell>
          <cell r="H15">
            <v>100</v>
          </cell>
          <cell r="I15">
            <v>100</v>
          </cell>
          <cell r="J15">
            <v>100</v>
          </cell>
          <cell r="K15">
            <v>100</v>
          </cell>
          <cell r="L15">
            <v>100</v>
          </cell>
          <cell r="M15">
            <v>100</v>
          </cell>
          <cell r="N15">
            <v>1200</v>
          </cell>
        </row>
        <row r="16">
          <cell r="A16" t="str">
            <v>305111 - Communication Expenses</v>
          </cell>
          <cell r="B16">
            <v>20</v>
          </cell>
          <cell r="C16">
            <v>20</v>
          </cell>
          <cell r="D16">
            <v>20</v>
          </cell>
          <cell r="E16">
            <v>20</v>
          </cell>
          <cell r="F16">
            <v>20</v>
          </cell>
          <cell r="G16">
            <v>20</v>
          </cell>
          <cell r="H16">
            <v>20</v>
          </cell>
          <cell r="I16">
            <v>20</v>
          </cell>
          <cell r="J16">
            <v>20</v>
          </cell>
          <cell r="K16">
            <v>20</v>
          </cell>
          <cell r="L16">
            <v>20</v>
          </cell>
          <cell r="M16">
            <v>20</v>
          </cell>
          <cell r="N16">
            <v>240</v>
          </cell>
        </row>
        <row r="17">
          <cell r="A17" t="str">
            <v>305112 - Paper Products &amp; Packaging</v>
          </cell>
          <cell r="B17">
            <v>400</v>
          </cell>
          <cell r="C17">
            <v>400</v>
          </cell>
          <cell r="D17">
            <v>400</v>
          </cell>
          <cell r="E17">
            <v>400</v>
          </cell>
          <cell r="F17">
            <v>400</v>
          </cell>
          <cell r="G17">
            <v>400</v>
          </cell>
          <cell r="H17">
            <v>400</v>
          </cell>
          <cell r="I17">
            <v>400</v>
          </cell>
          <cell r="J17">
            <v>400</v>
          </cell>
          <cell r="K17">
            <v>400</v>
          </cell>
          <cell r="L17">
            <v>400</v>
          </cell>
          <cell r="M17">
            <v>300</v>
          </cell>
          <cell r="N17">
            <v>4700</v>
          </cell>
        </row>
        <row r="18">
          <cell r="A18" t="str">
            <v>305132 - Utilities</v>
          </cell>
          <cell r="B18">
            <v>500</v>
          </cell>
          <cell r="C18">
            <v>500</v>
          </cell>
          <cell r="D18">
            <v>500</v>
          </cell>
          <cell r="E18">
            <v>500</v>
          </cell>
          <cell r="F18">
            <v>500</v>
          </cell>
          <cell r="G18">
            <v>500</v>
          </cell>
          <cell r="H18">
            <v>500</v>
          </cell>
          <cell r="I18">
            <v>500</v>
          </cell>
          <cell r="J18">
            <v>500</v>
          </cell>
          <cell r="K18">
            <v>500</v>
          </cell>
          <cell r="L18">
            <v>500</v>
          </cell>
          <cell r="M18">
            <v>500</v>
          </cell>
          <cell r="N18">
            <v>6000</v>
          </cell>
        </row>
        <row r="19">
          <cell r="A19" t="str">
            <v>305162 - Motor Vehicle Expenses</v>
          </cell>
          <cell r="B19">
            <v>0</v>
          </cell>
          <cell r="C19">
            <v>0</v>
          </cell>
          <cell r="D19">
            <v>0</v>
          </cell>
          <cell r="E19">
            <v>500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500</v>
          </cell>
          <cell r="L19">
            <v>0</v>
          </cell>
          <cell r="M19">
            <v>3000</v>
          </cell>
          <cell r="N19">
            <v>4000</v>
          </cell>
          <cell r="O19" t="str">
            <v>Including golf cart servicing</v>
          </cell>
        </row>
        <row r="20">
          <cell r="A20" t="str">
            <v>305162 - Licence &amp; Permits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200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200</v>
          </cell>
        </row>
        <row r="21">
          <cell r="A21" t="str">
            <v>305180 - Printing &amp; Stationery</v>
          </cell>
          <cell r="B21">
            <v>0</v>
          </cell>
          <cell r="C21">
            <v>0</v>
          </cell>
          <cell r="D21">
            <v>100</v>
          </cell>
          <cell r="E21">
            <v>0</v>
          </cell>
          <cell r="F21">
            <v>0</v>
          </cell>
          <cell r="G21">
            <v>100</v>
          </cell>
          <cell r="H21">
            <v>0</v>
          </cell>
          <cell r="I21">
            <v>0</v>
          </cell>
          <cell r="J21">
            <v>100</v>
          </cell>
          <cell r="K21">
            <v>0</v>
          </cell>
          <cell r="L21">
            <v>0</v>
          </cell>
          <cell r="M21">
            <v>0</v>
          </cell>
          <cell r="N21">
            <v>300</v>
          </cell>
        </row>
        <row r="22">
          <cell r="A22" t="str">
            <v>305187 - Software Digital</v>
          </cell>
          <cell r="B22">
            <v>145</v>
          </cell>
          <cell r="C22">
            <v>145</v>
          </cell>
          <cell r="D22">
            <v>145</v>
          </cell>
          <cell r="E22">
            <v>145</v>
          </cell>
          <cell r="F22">
            <v>145</v>
          </cell>
          <cell r="G22">
            <v>145</v>
          </cell>
          <cell r="H22">
            <v>145</v>
          </cell>
          <cell r="I22">
            <v>145</v>
          </cell>
          <cell r="J22">
            <v>145</v>
          </cell>
          <cell r="K22">
            <v>145</v>
          </cell>
          <cell r="L22">
            <v>145</v>
          </cell>
          <cell r="M22">
            <v>145</v>
          </cell>
          <cell r="N22">
            <v>1740</v>
          </cell>
        </row>
        <row r="23">
          <cell r="A23" t="str">
            <v>305197 - Replacement of Glass/Cutlery</v>
          </cell>
          <cell r="B23">
            <v>0</v>
          </cell>
          <cell r="C23">
            <v>600</v>
          </cell>
          <cell r="D23">
            <v>0</v>
          </cell>
          <cell r="E23">
            <v>0</v>
          </cell>
          <cell r="F23">
            <v>600</v>
          </cell>
          <cell r="G23">
            <v>0</v>
          </cell>
          <cell r="H23">
            <v>0</v>
          </cell>
          <cell r="I23">
            <v>600</v>
          </cell>
          <cell r="J23">
            <v>0</v>
          </cell>
          <cell r="K23">
            <v>0</v>
          </cell>
          <cell r="L23">
            <v>600</v>
          </cell>
          <cell r="M23">
            <v>0</v>
          </cell>
          <cell r="N23">
            <v>2400</v>
          </cell>
        </row>
        <row r="24">
          <cell r="A24" t="str">
            <v>305225 - Uniforms</v>
          </cell>
          <cell r="B24">
            <v>0</v>
          </cell>
          <cell r="C24">
            <v>0</v>
          </cell>
          <cell r="D24">
            <v>0</v>
          </cell>
          <cell r="E24">
            <v>100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100</v>
          </cell>
        </row>
        <row r="25">
          <cell r="A25" t="str">
            <v>305168 - Occupational health &amp; saftey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155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155</v>
          </cell>
          <cell r="M25">
            <v>0</v>
          </cell>
          <cell r="N25">
            <v>310</v>
          </cell>
        </row>
        <row r="26">
          <cell r="A26" t="str">
            <v>305156 - Laundry</v>
          </cell>
          <cell r="B26">
            <v>100</v>
          </cell>
          <cell r="C26">
            <v>100</v>
          </cell>
          <cell r="D26">
            <v>100</v>
          </cell>
          <cell r="E26">
            <v>100</v>
          </cell>
          <cell r="F26">
            <v>100</v>
          </cell>
          <cell r="G26">
            <v>100</v>
          </cell>
          <cell r="H26">
            <v>100</v>
          </cell>
          <cell r="I26">
            <v>100</v>
          </cell>
          <cell r="J26">
            <v>100</v>
          </cell>
          <cell r="K26">
            <v>100</v>
          </cell>
          <cell r="L26">
            <v>100</v>
          </cell>
          <cell r="M26">
            <v>100</v>
          </cell>
          <cell r="N26">
            <v>1200</v>
          </cell>
        </row>
        <row r="27">
          <cell r="A27" t="str">
            <v>305185 - Minor assets</v>
          </cell>
          <cell r="B27">
            <v>0</v>
          </cell>
          <cell r="C27">
            <v>600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600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1200</v>
          </cell>
        </row>
        <row r="28">
          <cell r="A28" t="str">
            <v>305189 - Repairs &amp;maintenance</v>
          </cell>
          <cell r="B28">
            <v>0</v>
          </cell>
          <cell r="C28">
            <v>0</v>
          </cell>
          <cell r="D28">
            <v>1500</v>
          </cell>
          <cell r="E28">
            <v>0</v>
          </cell>
          <cell r="F28">
            <v>0</v>
          </cell>
          <cell r="G28">
            <v>2000</v>
          </cell>
          <cell r="H28">
            <v>0</v>
          </cell>
          <cell r="I28">
            <v>0</v>
          </cell>
          <cell r="J28">
            <v>1500</v>
          </cell>
          <cell r="K28">
            <v>0</v>
          </cell>
          <cell r="L28">
            <v>0</v>
          </cell>
          <cell r="M28">
            <v>2000</v>
          </cell>
          <cell r="N28">
            <v>7000</v>
          </cell>
        </row>
        <row r="29">
          <cell r="A29" t="str">
            <v>305228 - Waste Control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A30" t="str">
            <v>306001 - Depreciation - Plant &amp; Equipment</v>
          </cell>
          <cell r="B30">
            <v>1249.4100000000001</v>
          </cell>
          <cell r="C30">
            <v>1249.4100000000001</v>
          </cell>
          <cell r="D30">
            <v>1249.4100000000001</v>
          </cell>
          <cell r="E30">
            <v>1249.4100000000001</v>
          </cell>
          <cell r="F30">
            <v>1249.4100000000001</v>
          </cell>
          <cell r="G30">
            <v>1249.4100000000001</v>
          </cell>
          <cell r="H30">
            <v>1249.4100000000001</v>
          </cell>
          <cell r="I30">
            <v>1249.4100000000001</v>
          </cell>
          <cell r="J30">
            <v>1249.4100000000001</v>
          </cell>
          <cell r="K30">
            <v>1249.4100000000001</v>
          </cell>
          <cell r="L30">
            <v>1249.4100000000001</v>
          </cell>
          <cell r="M30">
            <v>1249.4100000000001</v>
          </cell>
          <cell r="N30">
            <v>14992.92</v>
          </cell>
        </row>
        <row r="31">
          <cell r="A31" t="str">
            <v>306002 - Depreciation - Motor Vehicles</v>
          </cell>
          <cell r="B31">
            <v>878.91</v>
          </cell>
          <cell r="C31">
            <v>878.91</v>
          </cell>
          <cell r="D31">
            <v>878.91</v>
          </cell>
          <cell r="E31">
            <v>878.91</v>
          </cell>
          <cell r="F31">
            <v>878.91</v>
          </cell>
          <cell r="G31">
            <v>878.91</v>
          </cell>
          <cell r="H31">
            <v>878.91</v>
          </cell>
          <cell r="I31">
            <v>878.91</v>
          </cell>
          <cell r="J31">
            <v>878.91</v>
          </cell>
          <cell r="K31">
            <v>878.91</v>
          </cell>
          <cell r="L31">
            <v>878.91</v>
          </cell>
          <cell r="M31">
            <v>878.91</v>
          </cell>
          <cell r="N31">
            <v>10546.92</v>
          </cell>
        </row>
        <row r="32">
          <cell r="A32" t="str">
            <v>306004 - Depreciation - Computer Equipment</v>
          </cell>
          <cell r="B32">
            <v>74.72</v>
          </cell>
          <cell r="C32">
            <v>74.72</v>
          </cell>
          <cell r="D32">
            <v>74.72</v>
          </cell>
          <cell r="E32">
            <v>74.72</v>
          </cell>
          <cell r="F32">
            <v>74.72</v>
          </cell>
          <cell r="G32">
            <v>74.72</v>
          </cell>
          <cell r="H32">
            <v>74.72</v>
          </cell>
          <cell r="I32">
            <v>74.72</v>
          </cell>
          <cell r="J32">
            <v>74.72</v>
          </cell>
          <cell r="K32">
            <v>74.72</v>
          </cell>
          <cell r="L32">
            <v>74.72</v>
          </cell>
          <cell r="M32">
            <v>74.72</v>
          </cell>
          <cell r="N32">
            <v>896.64000000000021</v>
          </cell>
        </row>
        <row r="33">
          <cell r="A33" t="str">
            <v>Total - ADMINISTRATIVE EXPENSES - ADMINISTRATIVE EXPENSES</v>
          </cell>
          <cell r="B33">
            <v>3648.0399999999995</v>
          </cell>
          <cell r="C33">
            <v>6318.04</v>
          </cell>
          <cell r="D33">
            <v>5288.04</v>
          </cell>
          <cell r="E33">
            <v>4318.04</v>
          </cell>
          <cell r="F33">
            <v>4443.04</v>
          </cell>
          <cell r="G33">
            <v>7568.04</v>
          </cell>
          <cell r="H33">
            <v>3888.0399999999995</v>
          </cell>
          <cell r="I33">
            <v>4918.04</v>
          </cell>
          <cell r="J33">
            <v>6587.04</v>
          </cell>
          <cell r="K33">
            <v>4218.04</v>
          </cell>
          <cell r="L33">
            <v>6523.04</v>
          </cell>
          <cell r="M33">
            <v>8548.0399999999991</v>
          </cell>
          <cell r="N33">
            <v>54821.919999999998</v>
          </cell>
        </row>
        <row r="34">
          <cell r="A34" t="str">
            <v>EMPLOYEE BENEFITS EXPENSE - EMPLOYEE BENEFITS EXPENSE</v>
          </cell>
        </row>
        <row r="35">
          <cell r="A35" t="str">
            <v>304001 - Salaries &amp; Wages - Permanent Staff</v>
          </cell>
          <cell r="B35">
            <v>12082.512972762646</v>
          </cell>
          <cell r="C35">
            <v>12718.434708171206</v>
          </cell>
          <cell r="D35">
            <v>13354.356443579767</v>
          </cell>
          <cell r="E35">
            <v>13990.278178988327</v>
          </cell>
          <cell r="F35">
            <v>14626.199914396888</v>
          </cell>
          <cell r="G35">
            <v>12718.434708171206</v>
          </cell>
          <cell r="H35">
            <v>14626.199914396888</v>
          </cell>
          <cell r="I35">
            <v>13990.278178988327</v>
          </cell>
          <cell r="J35">
            <v>13354.356443579767</v>
          </cell>
          <cell r="K35">
            <v>14626.199914396888</v>
          </cell>
          <cell r="L35">
            <v>13354.356443579767</v>
          </cell>
          <cell r="M35">
            <v>13990.278178988327</v>
          </cell>
          <cell r="N35">
            <v>163431.886</v>
          </cell>
        </row>
        <row r="36">
          <cell r="A36" t="str">
            <v>304001 - Salaries &amp; Wages -  Others</v>
          </cell>
          <cell r="B36">
            <v>400</v>
          </cell>
          <cell r="C36">
            <v>7000</v>
          </cell>
          <cell r="D36">
            <v>8500</v>
          </cell>
          <cell r="E36">
            <v>8500</v>
          </cell>
          <cell r="F36">
            <v>8500</v>
          </cell>
          <cell r="G36">
            <v>1500</v>
          </cell>
          <cell r="H36">
            <v>5500</v>
          </cell>
          <cell r="I36">
            <v>8500</v>
          </cell>
          <cell r="J36">
            <v>8500</v>
          </cell>
          <cell r="K36">
            <v>8500</v>
          </cell>
          <cell r="L36">
            <v>400</v>
          </cell>
          <cell r="M36">
            <v>0</v>
          </cell>
          <cell r="N36">
            <v>65800</v>
          </cell>
        </row>
        <row r="37">
          <cell r="A37" t="str">
            <v>304010 - Superannuation</v>
          </cell>
          <cell r="B37">
            <v>1577.6967460693165</v>
          </cell>
          <cell r="C37">
            <v>1741.6544695466487</v>
          </cell>
          <cell r="D37">
            <v>1842.8821930239812</v>
          </cell>
          <cell r="E37">
            <v>1925.6599165013135</v>
          </cell>
          <cell r="F37">
            <v>2008.4376399786461</v>
          </cell>
          <cell r="G37">
            <v>1674.0044695466488</v>
          </cell>
          <cell r="H37">
            <v>1971.5376399786462</v>
          </cell>
          <cell r="I37">
            <v>1925.6599165013135</v>
          </cell>
          <cell r="J37">
            <v>1842.8821930239812</v>
          </cell>
          <cell r="K37">
            <v>2008.4376399786461</v>
          </cell>
          <cell r="L37">
            <v>1743.2521930239814</v>
          </cell>
          <cell r="M37">
            <v>1821.1099165013136</v>
          </cell>
          <cell r="N37">
            <v>22083.214933674437</v>
          </cell>
        </row>
        <row r="38">
          <cell r="A38" t="str">
            <v>304013 - Workers Compensation Insurance</v>
          </cell>
          <cell r="B38">
            <v>130.96639217502502</v>
          </cell>
          <cell r="C38">
            <v>201.92186018423683</v>
          </cell>
          <cell r="D38">
            <v>223.21607819344871</v>
          </cell>
          <cell r="E38">
            <v>229.90404620266054</v>
          </cell>
          <cell r="F38">
            <v>236.59201421187237</v>
          </cell>
          <cell r="G38">
            <v>148.36561018423683</v>
          </cell>
          <cell r="H38">
            <v>207.37951421187239</v>
          </cell>
          <cell r="I38">
            <v>229.90404620266054</v>
          </cell>
          <cell r="J38">
            <v>223.21607819344871</v>
          </cell>
          <cell r="K38">
            <v>236.59201421187237</v>
          </cell>
          <cell r="L38">
            <v>144.34232819344871</v>
          </cell>
          <cell r="M38">
            <v>147.13529620266053</v>
          </cell>
          <cell r="N38">
            <v>2359.5352783674434</v>
          </cell>
        </row>
        <row r="39">
          <cell r="A39" t="str">
            <v>304016 - Annual Leave Provision</v>
          </cell>
          <cell r="B39">
            <v>1154.850601944004</v>
          </cell>
          <cell r="C39">
            <v>1149.519791520004</v>
          </cell>
          <cell r="D39">
            <v>1206.9957810960043</v>
          </cell>
          <cell r="E39">
            <v>1264.4717706720044</v>
          </cell>
          <cell r="F39">
            <v>1321.9477602480047</v>
          </cell>
          <cell r="G39">
            <v>1149.519791520004</v>
          </cell>
          <cell r="H39">
            <v>1321.9477602480047</v>
          </cell>
          <cell r="I39">
            <v>1264.4717706720044</v>
          </cell>
          <cell r="J39">
            <v>1206.9957810960043</v>
          </cell>
          <cell r="K39">
            <v>1321.9477602480047</v>
          </cell>
          <cell r="L39">
            <v>1206.9957810960043</v>
          </cell>
          <cell r="M39">
            <v>1264.4717706720044</v>
          </cell>
          <cell r="N39">
            <v>14834.13612103205</v>
          </cell>
        </row>
        <row r="40">
          <cell r="A40" t="str">
            <v>304019 - Long Service Leave Provision</v>
          </cell>
          <cell r="B40">
            <v>255.88404371703501</v>
          </cell>
          <cell r="C40">
            <v>386.97815128108948</v>
          </cell>
          <cell r="D40">
            <v>435.07705884514399</v>
          </cell>
          <cell r="E40">
            <v>445.67596640919845</v>
          </cell>
          <cell r="F40">
            <v>456.27487397325297</v>
          </cell>
          <cell r="G40">
            <v>249.47815128108951</v>
          </cell>
          <cell r="H40">
            <v>381.27487397325297</v>
          </cell>
          <cell r="I40">
            <v>445.67596640919845</v>
          </cell>
          <cell r="J40">
            <v>435.07705884514399</v>
          </cell>
          <cell r="K40">
            <v>456.27487397325297</v>
          </cell>
          <cell r="L40">
            <v>232.57705884514399</v>
          </cell>
          <cell r="M40">
            <v>233.17596640919845</v>
          </cell>
          <cell r="N40">
            <v>4413.4240439620007</v>
          </cell>
        </row>
        <row r="41">
          <cell r="A41" t="str">
            <v>Total - EMPLOYEE BENEFITS EXPENSE - EMPLOYEE BENEFITS EXPENSE</v>
          </cell>
          <cell r="B41">
            <v>15601.910756668027</v>
          </cell>
          <cell r="C41">
            <v>23198.50898070318</v>
          </cell>
          <cell r="D41">
            <v>25562.527554738346</v>
          </cell>
          <cell r="E41">
            <v>26355.989878773504</v>
          </cell>
          <cell r="F41">
            <v>27149.452202808661</v>
          </cell>
          <cell r="G41">
            <v>17439.802730703184</v>
          </cell>
          <cell r="H41">
            <v>24008.339702808662</v>
          </cell>
          <cell r="I41">
            <v>26355.989878773504</v>
          </cell>
          <cell r="J41">
            <v>25562.527554738346</v>
          </cell>
          <cell r="K41">
            <v>27149.452202808661</v>
          </cell>
          <cell r="L41">
            <v>17081.523804738346</v>
          </cell>
          <cell r="M41">
            <v>17456.171128773505</v>
          </cell>
          <cell r="N41">
            <v>272922.19637703587</v>
          </cell>
        </row>
        <row r="42">
          <cell r="A42" t="str">
            <v>Total - Expenses</v>
          </cell>
          <cell r="B42">
            <v>19249.950756668026</v>
          </cell>
          <cell r="C42">
            <v>29516.548980703181</v>
          </cell>
          <cell r="D42">
            <v>30850.567554738347</v>
          </cell>
          <cell r="E42">
            <v>30674.029878773505</v>
          </cell>
          <cell r="F42">
            <v>31592.492202808662</v>
          </cell>
          <cell r="G42">
            <v>25007.842730703185</v>
          </cell>
          <cell r="H42">
            <v>27896.379702808663</v>
          </cell>
          <cell r="I42">
            <v>31274.029878773505</v>
          </cell>
          <cell r="J42">
            <v>32149.567554738347</v>
          </cell>
          <cell r="K42">
            <v>31367.492202808662</v>
          </cell>
          <cell r="L42">
            <v>23604.563804738347</v>
          </cell>
          <cell r="M42">
            <v>26004.211128773502</v>
          </cell>
          <cell r="N42">
            <v>327744.11637703585</v>
          </cell>
        </row>
        <row r="43">
          <cell r="A43" t="str">
            <v>Operating Profit</v>
          </cell>
          <cell r="B43">
            <v>-12749.950756668026</v>
          </cell>
          <cell r="C43">
            <v>-17516.548980703181</v>
          </cell>
          <cell r="D43">
            <v>-16850.567554738347</v>
          </cell>
          <cell r="E43">
            <v>-15674.029878773505</v>
          </cell>
          <cell r="F43">
            <v>-9592.4922028086621</v>
          </cell>
          <cell r="G43">
            <v>-17007.842730703185</v>
          </cell>
          <cell r="H43">
            <v>-15896.379702808663</v>
          </cell>
          <cell r="I43">
            <v>-11274.029878773505</v>
          </cell>
          <cell r="J43">
            <v>-17149.567554738347</v>
          </cell>
          <cell r="K43">
            <v>-16367.492202808662</v>
          </cell>
          <cell r="L43">
            <v>-17104.563804738347</v>
          </cell>
          <cell r="M43">
            <v>-21004.211128773502</v>
          </cell>
          <cell r="N43">
            <v>-176744.11637703585</v>
          </cell>
        </row>
        <row r="44">
          <cell r="A44" t="str">
            <v>Net Profit/(Loss)</v>
          </cell>
          <cell r="B44">
            <v>-12749.950756668026</v>
          </cell>
          <cell r="C44">
            <v>-17516.548980703181</v>
          </cell>
          <cell r="D44">
            <v>-16850.567554738347</v>
          </cell>
          <cell r="E44">
            <v>-15674.029878773505</v>
          </cell>
          <cell r="F44">
            <v>-9592.4922028086621</v>
          </cell>
          <cell r="G44">
            <v>-17007.842730703185</v>
          </cell>
          <cell r="H44">
            <v>-15896.379702808663</v>
          </cell>
          <cell r="I44">
            <v>-11274.029878773505</v>
          </cell>
          <cell r="J44">
            <v>-17149.567554738347</v>
          </cell>
          <cell r="K44">
            <v>-16367.492202808662</v>
          </cell>
          <cell r="L44">
            <v>-17104.563804738347</v>
          </cell>
          <cell r="M44">
            <v>-21004.211128773502</v>
          </cell>
          <cell r="N44">
            <v>-176744.11637703585</v>
          </cell>
        </row>
        <row r="46">
          <cell r="A46" t="str">
            <v>Production cost to cafes 2024</v>
          </cell>
          <cell r="B46">
            <v>4891</v>
          </cell>
          <cell r="C46">
            <v>10613.76</v>
          </cell>
          <cell r="D46">
            <v>12065.9</v>
          </cell>
          <cell r="E46">
            <v>13746.45</v>
          </cell>
          <cell r="F46">
            <v>20629.37</v>
          </cell>
          <cell r="G46">
            <v>6721</v>
          </cell>
          <cell r="H46">
            <v>10621.51</v>
          </cell>
          <cell r="I46">
            <v>17346.989999999998</v>
          </cell>
          <cell r="J46">
            <v>13035.34</v>
          </cell>
          <cell r="K46">
            <v>12746.43</v>
          </cell>
          <cell r="N46">
            <v>122417.74999999997</v>
          </cell>
        </row>
      </sheetData>
      <sheetData sheetId="10">
        <row r="1">
          <cell r="A1" t="str">
            <v>Guild of Undergraduates</v>
          </cell>
        </row>
        <row r="2">
          <cell r="A2" t="str">
            <v>Budget 2025</v>
          </cell>
        </row>
        <row r="3">
          <cell r="A3" t="str">
            <v>QUOBBA Café</v>
          </cell>
        </row>
        <row r="4">
          <cell r="A4" t="str">
            <v/>
          </cell>
        </row>
        <row r="5">
          <cell r="A5" t="str">
            <v>Financial Row</v>
          </cell>
          <cell r="B5">
            <v>45658</v>
          </cell>
          <cell r="C5">
            <v>45689</v>
          </cell>
          <cell r="D5">
            <v>45717</v>
          </cell>
          <cell r="E5">
            <v>45748</v>
          </cell>
          <cell r="F5">
            <v>45778</v>
          </cell>
          <cell r="G5">
            <v>45809</v>
          </cell>
          <cell r="H5">
            <v>45839</v>
          </cell>
          <cell r="I5">
            <v>45870</v>
          </cell>
          <cell r="J5">
            <v>45901</v>
          </cell>
          <cell r="K5">
            <v>45931</v>
          </cell>
          <cell r="L5">
            <v>45962</v>
          </cell>
          <cell r="M5">
            <v>45992</v>
          </cell>
          <cell r="N5" t="str">
            <v>Total</v>
          </cell>
        </row>
        <row r="6">
          <cell r="A6" t="str">
            <v>Income</v>
          </cell>
        </row>
        <row r="7">
          <cell r="A7" t="str">
            <v>SALES OF GOODS - SALES OF GOODS</v>
          </cell>
        </row>
        <row r="8">
          <cell r="A8" t="str">
            <v>101001 - Sales - Catering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101005 - Sales - End of Day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101050 - Under/Overs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Total - SALES OF GOODS - SALES OF GOODS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SALES CATERING DISCOUNT - SALES CATERING DISCOUNT</v>
          </cell>
        </row>
        <row r="13">
          <cell r="A13" t="str">
            <v>102000 - Guild Member Discount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102003 - Other Promotional Discounts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 t="str">
            <v>2019 actual $1 975 031 (pre covid, pre iga, pre ref)</v>
          </cell>
        </row>
        <row r="15">
          <cell r="A15" t="str">
            <v>Total - SALES CATERING DISCOUNT - SALES CATERING DISCOUNT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 t="str">
            <v>2023 actual $1 605 497 (closed early Nov for library works)</v>
          </cell>
        </row>
        <row r="16">
          <cell r="A16" t="str">
            <v>Total - Income</v>
          </cell>
          <cell r="B16">
            <v>37200</v>
          </cell>
          <cell r="C16">
            <v>89100</v>
          </cell>
          <cell r="D16">
            <v>207250</v>
          </cell>
          <cell r="E16">
            <v>170700</v>
          </cell>
          <cell r="F16">
            <v>219200</v>
          </cell>
          <cell r="G16">
            <v>116150</v>
          </cell>
          <cell r="H16">
            <v>118400</v>
          </cell>
          <cell r="I16">
            <v>207550</v>
          </cell>
          <cell r="J16">
            <v>185450</v>
          </cell>
          <cell r="K16">
            <v>227100</v>
          </cell>
          <cell r="L16">
            <v>83300</v>
          </cell>
          <cell r="M16">
            <v>26750</v>
          </cell>
          <cell r="N16">
            <v>1688150</v>
          </cell>
          <cell r="O16" t="str">
            <v>2024 actual Jan - Sept $588 243 (library works, only ground floor open)</v>
          </cell>
        </row>
        <row r="17">
          <cell r="A17" t="str">
            <v>Cost Of Sales</v>
          </cell>
          <cell r="B17">
            <v>0.37</v>
          </cell>
          <cell r="C17">
            <v>0.37</v>
          </cell>
          <cell r="D17">
            <v>0.37</v>
          </cell>
          <cell r="E17">
            <v>0.37</v>
          </cell>
          <cell r="F17">
            <v>0.37</v>
          </cell>
          <cell r="G17">
            <v>0.37</v>
          </cell>
          <cell r="H17">
            <v>0.37</v>
          </cell>
          <cell r="I17">
            <v>0.37</v>
          </cell>
          <cell r="J17">
            <v>0.37</v>
          </cell>
          <cell r="K17">
            <v>0.37</v>
          </cell>
          <cell r="L17">
            <v>0.37</v>
          </cell>
          <cell r="M17">
            <v>0.37</v>
          </cell>
          <cell r="N17">
            <v>0.37</v>
          </cell>
          <cell r="O17" t="str">
            <v>are we including or excluding wages in MK transfers?</v>
          </cell>
        </row>
        <row r="18">
          <cell r="A18" t="str">
            <v>201070 - Cost of Goods Sold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201075 - FREIGHT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201600 - Inter Department Transfers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Total - Cost Of Sales</v>
          </cell>
          <cell r="B21">
            <v>13764</v>
          </cell>
          <cell r="C21">
            <v>32967</v>
          </cell>
          <cell r="D21">
            <v>76682.5</v>
          </cell>
          <cell r="E21">
            <v>63159</v>
          </cell>
          <cell r="F21">
            <v>81104</v>
          </cell>
          <cell r="G21">
            <v>42975.5</v>
          </cell>
          <cell r="H21">
            <v>43808</v>
          </cell>
          <cell r="I21">
            <v>76793.5</v>
          </cell>
          <cell r="J21">
            <v>68616.5</v>
          </cell>
          <cell r="K21">
            <v>84027</v>
          </cell>
          <cell r="L21">
            <v>30821</v>
          </cell>
          <cell r="M21">
            <v>9897.5</v>
          </cell>
          <cell r="N21">
            <v>577884.5</v>
          </cell>
        </row>
        <row r="22">
          <cell r="A22" t="str">
            <v>Gross Profit</v>
          </cell>
          <cell r="B22">
            <v>23436</v>
          </cell>
          <cell r="C22">
            <v>56133</v>
          </cell>
          <cell r="D22">
            <v>130567.5</v>
          </cell>
          <cell r="E22">
            <v>107541</v>
          </cell>
          <cell r="F22">
            <v>138096</v>
          </cell>
          <cell r="G22">
            <v>73174.5</v>
          </cell>
          <cell r="H22">
            <v>74592</v>
          </cell>
          <cell r="I22">
            <v>130756.5</v>
          </cell>
          <cell r="J22">
            <v>116833.5</v>
          </cell>
          <cell r="K22">
            <v>143073</v>
          </cell>
          <cell r="L22">
            <v>52479</v>
          </cell>
          <cell r="M22">
            <v>16852.5</v>
          </cell>
          <cell r="N22">
            <v>1110265.5</v>
          </cell>
        </row>
        <row r="23">
          <cell r="A23" t="str">
            <v>Expenses</v>
          </cell>
        </row>
        <row r="24">
          <cell r="A24" t="str">
            <v>ADMINISTRATIVE EXPENSES - ADMINISTRATIVE EXPENSES</v>
          </cell>
        </row>
        <row r="25">
          <cell r="A25" t="str">
            <v>305083 - Advertising &amp; Promotion</v>
          </cell>
          <cell r="B25">
            <v>15</v>
          </cell>
          <cell r="C25">
            <v>15</v>
          </cell>
          <cell r="D25">
            <v>15</v>
          </cell>
          <cell r="E25">
            <v>15</v>
          </cell>
          <cell r="F25">
            <v>15</v>
          </cell>
          <cell r="G25">
            <v>15</v>
          </cell>
          <cell r="H25">
            <v>15</v>
          </cell>
          <cell r="I25">
            <v>15</v>
          </cell>
          <cell r="J25">
            <v>15</v>
          </cell>
          <cell r="K25">
            <v>15</v>
          </cell>
          <cell r="L25">
            <v>15</v>
          </cell>
          <cell r="M25">
            <v>15</v>
          </cell>
          <cell r="N25">
            <v>180</v>
          </cell>
        </row>
        <row r="26">
          <cell r="A26" t="str">
            <v>305108 - Cleaning Contract</v>
          </cell>
          <cell r="B26">
            <v>100</v>
          </cell>
          <cell r="C26">
            <v>100</v>
          </cell>
          <cell r="D26">
            <v>100</v>
          </cell>
          <cell r="E26">
            <v>100</v>
          </cell>
          <cell r="F26">
            <v>100</v>
          </cell>
          <cell r="G26">
            <v>100</v>
          </cell>
          <cell r="H26">
            <v>100</v>
          </cell>
          <cell r="I26">
            <v>100</v>
          </cell>
          <cell r="J26">
            <v>100</v>
          </cell>
          <cell r="K26">
            <v>100</v>
          </cell>
          <cell r="L26">
            <v>100</v>
          </cell>
          <cell r="M26">
            <v>100</v>
          </cell>
          <cell r="N26">
            <v>1200</v>
          </cell>
          <cell r="O26" t="str">
            <v>Jaymak $580 x2</v>
          </cell>
        </row>
        <row r="27">
          <cell r="A27" t="str">
            <v>305109 - Cleaning Consumables</v>
          </cell>
          <cell r="B27">
            <v>150</v>
          </cell>
          <cell r="C27">
            <v>150</v>
          </cell>
          <cell r="D27">
            <v>150</v>
          </cell>
          <cell r="E27">
            <v>150</v>
          </cell>
          <cell r="F27">
            <v>150</v>
          </cell>
          <cell r="G27">
            <v>150</v>
          </cell>
          <cell r="H27">
            <v>150</v>
          </cell>
          <cell r="I27">
            <v>150</v>
          </cell>
          <cell r="J27">
            <v>150</v>
          </cell>
          <cell r="K27">
            <v>150</v>
          </cell>
          <cell r="L27">
            <v>150</v>
          </cell>
          <cell r="M27">
            <v>150</v>
          </cell>
          <cell r="N27">
            <v>1800</v>
          </cell>
        </row>
        <row r="28">
          <cell r="A28" t="str">
            <v>305111 - Communication Expenses</v>
          </cell>
          <cell r="B28">
            <v>40</v>
          </cell>
          <cell r="C28">
            <v>40</v>
          </cell>
          <cell r="D28">
            <v>40</v>
          </cell>
          <cell r="E28">
            <v>40</v>
          </cell>
          <cell r="F28">
            <v>40</v>
          </cell>
          <cell r="G28">
            <v>40</v>
          </cell>
          <cell r="H28">
            <v>40</v>
          </cell>
          <cell r="I28">
            <v>40</v>
          </cell>
          <cell r="J28">
            <v>40</v>
          </cell>
          <cell r="K28">
            <v>40</v>
          </cell>
          <cell r="L28">
            <v>40</v>
          </cell>
          <cell r="M28">
            <v>40</v>
          </cell>
          <cell r="N28">
            <v>480</v>
          </cell>
          <cell r="O28" t="str">
            <v>Mutya</v>
          </cell>
        </row>
        <row r="29">
          <cell r="A29" t="str">
            <v>305112 - Paper Products &amp; Packaging</v>
          </cell>
          <cell r="B29">
            <v>1400</v>
          </cell>
          <cell r="C29">
            <v>1400</v>
          </cell>
          <cell r="D29">
            <v>1400</v>
          </cell>
          <cell r="E29">
            <v>1400</v>
          </cell>
          <cell r="F29">
            <v>1400</v>
          </cell>
          <cell r="G29">
            <v>1400</v>
          </cell>
          <cell r="H29">
            <v>1400</v>
          </cell>
          <cell r="I29">
            <v>1400</v>
          </cell>
          <cell r="J29">
            <v>1400</v>
          </cell>
          <cell r="K29">
            <v>1400</v>
          </cell>
          <cell r="L29">
            <v>1400</v>
          </cell>
          <cell r="M29">
            <v>1400</v>
          </cell>
          <cell r="N29">
            <v>16800</v>
          </cell>
        </row>
        <row r="30">
          <cell r="A30" t="str">
            <v>305114 - Computer Expenses</v>
          </cell>
          <cell r="B30">
            <v>1000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1000</v>
          </cell>
          <cell r="O30" t="str">
            <v>Mutya</v>
          </cell>
        </row>
        <row r="31">
          <cell r="A31" t="str">
            <v>305132 - Utilities</v>
          </cell>
          <cell r="B31">
            <v>600</v>
          </cell>
          <cell r="C31">
            <v>750</v>
          </cell>
          <cell r="D31">
            <v>900</v>
          </cell>
          <cell r="E31">
            <v>1400</v>
          </cell>
          <cell r="F31">
            <v>1300</v>
          </cell>
          <cell r="G31">
            <v>1000</v>
          </cell>
          <cell r="H31">
            <v>1000</v>
          </cell>
          <cell r="I31">
            <v>1300</v>
          </cell>
          <cell r="J31">
            <v>1500</v>
          </cell>
          <cell r="K31">
            <v>1500</v>
          </cell>
          <cell r="L31">
            <v>1000</v>
          </cell>
          <cell r="M31">
            <v>600</v>
          </cell>
          <cell r="N31">
            <v>12850</v>
          </cell>
          <cell r="O31" t="str">
            <v>Mutya</v>
          </cell>
        </row>
        <row r="32">
          <cell r="A32" t="str">
            <v>305147 - General Expenses</v>
          </cell>
          <cell r="B32">
            <v>55</v>
          </cell>
          <cell r="C32">
            <v>55</v>
          </cell>
          <cell r="D32">
            <v>55</v>
          </cell>
          <cell r="E32">
            <v>55</v>
          </cell>
          <cell r="F32">
            <v>55</v>
          </cell>
          <cell r="G32">
            <v>55</v>
          </cell>
          <cell r="H32">
            <v>55</v>
          </cell>
          <cell r="I32">
            <v>55</v>
          </cell>
          <cell r="J32">
            <v>55</v>
          </cell>
          <cell r="K32">
            <v>55</v>
          </cell>
          <cell r="L32">
            <v>55</v>
          </cell>
          <cell r="M32">
            <v>55</v>
          </cell>
          <cell r="N32">
            <v>660</v>
          </cell>
          <cell r="O32" t="str">
            <v>LY $660/ YTD $330</v>
          </cell>
        </row>
        <row r="33">
          <cell r="A33" t="str">
            <v>305156 - Laundry</v>
          </cell>
          <cell r="B33">
            <v>40</v>
          </cell>
          <cell r="C33">
            <v>70</v>
          </cell>
          <cell r="D33">
            <v>130</v>
          </cell>
          <cell r="E33">
            <v>130</v>
          </cell>
          <cell r="F33">
            <v>140</v>
          </cell>
          <cell r="G33">
            <v>110</v>
          </cell>
          <cell r="H33">
            <v>110</v>
          </cell>
          <cell r="I33">
            <v>120</v>
          </cell>
          <cell r="J33">
            <v>100</v>
          </cell>
          <cell r="K33">
            <v>120</v>
          </cell>
          <cell r="L33">
            <v>100</v>
          </cell>
          <cell r="M33">
            <v>80</v>
          </cell>
          <cell r="N33">
            <v>1250</v>
          </cell>
        </row>
        <row r="34">
          <cell r="A34" t="str">
            <v>305162 - Licence &amp; Permits</v>
          </cell>
          <cell r="B34">
            <v>44</v>
          </cell>
          <cell r="C34">
            <v>44</v>
          </cell>
          <cell r="D34">
            <v>44</v>
          </cell>
          <cell r="E34">
            <v>44</v>
          </cell>
          <cell r="F34">
            <v>44</v>
          </cell>
          <cell r="G34">
            <v>44</v>
          </cell>
          <cell r="H34">
            <v>44</v>
          </cell>
          <cell r="I34">
            <v>44</v>
          </cell>
          <cell r="J34">
            <v>44</v>
          </cell>
          <cell r="K34">
            <v>44</v>
          </cell>
          <cell r="L34">
            <v>44</v>
          </cell>
          <cell r="M34">
            <v>44</v>
          </cell>
          <cell r="N34">
            <v>528</v>
          </cell>
          <cell r="O34" t="str">
            <v>City of Perth $260 x 2 = $520</v>
          </cell>
        </row>
        <row r="35">
          <cell r="A35" t="str">
            <v>305168 - Occupational  Health &amp; Safety</v>
          </cell>
          <cell r="B35">
            <v>11</v>
          </cell>
          <cell r="C35">
            <v>11</v>
          </cell>
          <cell r="D35">
            <v>11</v>
          </cell>
          <cell r="E35">
            <v>11</v>
          </cell>
          <cell r="F35">
            <v>11</v>
          </cell>
          <cell r="G35">
            <v>11</v>
          </cell>
          <cell r="H35">
            <v>11</v>
          </cell>
          <cell r="I35">
            <v>11</v>
          </cell>
          <cell r="J35">
            <v>11</v>
          </cell>
          <cell r="K35">
            <v>11</v>
          </cell>
          <cell r="L35">
            <v>11</v>
          </cell>
          <cell r="M35">
            <v>11</v>
          </cell>
          <cell r="N35">
            <v>132</v>
          </cell>
          <cell r="O35" t="str">
            <v>First Aid Kit $61 x2</v>
          </cell>
        </row>
        <row r="36">
          <cell r="A36" t="str">
            <v>305180 - Printing &amp; Stationery</v>
          </cell>
          <cell r="B36">
            <v>15</v>
          </cell>
          <cell r="C36">
            <v>15</v>
          </cell>
          <cell r="D36">
            <v>15</v>
          </cell>
          <cell r="E36">
            <v>15</v>
          </cell>
          <cell r="F36">
            <v>15</v>
          </cell>
          <cell r="G36">
            <v>15</v>
          </cell>
          <cell r="H36">
            <v>15</v>
          </cell>
          <cell r="I36">
            <v>15</v>
          </cell>
          <cell r="J36">
            <v>15</v>
          </cell>
          <cell r="K36">
            <v>15</v>
          </cell>
          <cell r="L36">
            <v>15</v>
          </cell>
          <cell r="M36">
            <v>15</v>
          </cell>
          <cell r="N36">
            <v>180</v>
          </cell>
        </row>
        <row r="37">
          <cell r="A37" t="str">
            <v>305185 - Minor Assets</v>
          </cell>
          <cell r="B37">
            <v>90</v>
          </cell>
          <cell r="C37">
            <v>90</v>
          </cell>
          <cell r="D37">
            <v>90</v>
          </cell>
          <cell r="E37">
            <v>90</v>
          </cell>
          <cell r="F37">
            <v>90</v>
          </cell>
          <cell r="G37">
            <v>90</v>
          </cell>
          <cell r="H37">
            <v>90</v>
          </cell>
          <cell r="I37">
            <v>90</v>
          </cell>
          <cell r="J37">
            <v>90</v>
          </cell>
          <cell r="K37">
            <v>90</v>
          </cell>
          <cell r="L37">
            <v>90</v>
          </cell>
          <cell r="M37">
            <v>90</v>
          </cell>
          <cell r="N37">
            <v>1080</v>
          </cell>
        </row>
        <row r="38">
          <cell r="A38" t="str">
            <v>305187 - Software Digital</v>
          </cell>
          <cell r="B38">
            <v>300</v>
          </cell>
          <cell r="C38">
            <v>300</v>
          </cell>
          <cell r="D38">
            <v>300</v>
          </cell>
          <cell r="E38">
            <v>300</v>
          </cell>
          <cell r="F38">
            <v>300</v>
          </cell>
          <cell r="G38">
            <v>300</v>
          </cell>
          <cell r="H38">
            <v>300</v>
          </cell>
          <cell r="I38">
            <v>300</v>
          </cell>
          <cell r="J38">
            <v>300</v>
          </cell>
          <cell r="K38">
            <v>300</v>
          </cell>
          <cell r="L38">
            <v>300</v>
          </cell>
          <cell r="M38">
            <v>300</v>
          </cell>
          <cell r="N38">
            <v>3600</v>
          </cell>
          <cell r="O38" t="str">
            <v>Mutya</v>
          </cell>
        </row>
        <row r="39">
          <cell r="A39" t="str">
            <v>305189 - Repairs &amp; Maintenance</v>
          </cell>
          <cell r="B39">
            <v>265</v>
          </cell>
          <cell r="C39">
            <v>265</v>
          </cell>
          <cell r="D39">
            <v>265</v>
          </cell>
          <cell r="E39">
            <v>265</v>
          </cell>
          <cell r="F39">
            <v>265</v>
          </cell>
          <cell r="G39">
            <v>265</v>
          </cell>
          <cell r="H39">
            <v>265</v>
          </cell>
          <cell r="I39">
            <v>265</v>
          </cell>
          <cell r="J39">
            <v>265</v>
          </cell>
          <cell r="K39">
            <v>265</v>
          </cell>
          <cell r="L39">
            <v>265</v>
          </cell>
          <cell r="M39">
            <v>265</v>
          </cell>
          <cell r="N39">
            <v>3180</v>
          </cell>
        </row>
        <row r="40">
          <cell r="A40" t="str">
            <v>305197 - Replacement of Glass/Cutlery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A41" t="str">
            <v>305225 - Uniforms</v>
          </cell>
          <cell r="B41">
            <v>20</v>
          </cell>
          <cell r="C41">
            <v>20</v>
          </cell>
          <cell r="D41">
            <v>20</v>
          </cell>
          <cell r="E41">
            <v>20</v>
          </cell>
          <cell r="F41">
            <v>20</v>
          </cell>
          <cell r="G41">
            <v>20</v>
          </cell>
          <cell r="H41">
            <v>20</v>
          </cell>
          <cell r="I41">
            <v>20</v>
          </cell>
          <cell r="J41">
            <v>20</v>
          </cell>
          <cell r="K41">
            <v>20</v>
          </cell>
          <cell r="L41">
            <v>20</v>
          </cell>
          <cell r="M41">
            <v>20</v>
          </cell>
          <cell r="N41">
            <v>240</v>
          </cell>
        </row>
        <row r="42">
          <cell r="A42" t="str">
            <v>305228 - Waste Control</v>
          </cell>
          <cell r="B42">
            <v>700</v>
          </cell>
          <cell r="C42">
            <v>700</v>
          </cell>
          <cell r="D42">
            <v>700</v>
          </cell>
          <cell r="E42">
            <v>700</v>
          </cell>
          <cell r="F42">
            <v>700</v>
          </cell>
          <cell r="G42">
            <v>700</v>
          </cell>
          <cell r="H42">
            <v>700</v>
          </cell>
          <cell r="I42">
            <v>700</v>
          </cell>
          <cell r="J42">
            <v>700</v>
          </cell>
          <cell r="K42">
            <v>700</v>
          </cell>
          <cell r="L42">
            <v>700</v>
          </cell>
          <cell r="M42">
            <v>700</v>
          </cell>
          <cell r="N42">
            <v>8400</v>
          </cell>
          <cell r="O42" t="str">
            <v>Cleanaway</v>
          </cell>
        </row>
        <row r="43">
          <cell r="A43" t="str">
            <v>306005 - Depreciation - Property</v>
          </cell>
          <cell r="B43">
            <v>2.98</v>
          </cell>
          <cell r="C43">
            <v>2.98</v>
          </cell>
          <cell r="D43">
            <v>2.98</v>
          </cell>
          <cell r="E43">
            <v>2.98</v>
          </cell>
          <cell r="F43">
            <v>2.98</v>
          </cell>
          <cell r="G43">
            <v>2.98</v>
          </cell>
          <cell r="H43">
            <v>2.98</v>
          </cell>
          <cell r="I43">
            <v>2.98</v>
          </cell>
          <cell r="J43">
            <v>2.98</v>
          </cell>
          <cell r="K43">
            <v>2.98</v>
          </cell>
          <cell r="L43">
            <v>2.98</v>
          </cell>
          <cell r="M43">
            <v>2.98</v>
          </cell>
          <cell r="N43">
            <v>35.76</v>
          </cell>
          <cell r="O43" t="str">
            <v>Mutya</v>
          </cell>
        </row>
        <row r="44">
          <cell r="A44" t="str">
            <v>305102 - Bank Charges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 t="str">
            <v>Mutya</v>
          </cell>
          <cell r="P44" t="str">
            <v>please complete</v>
          </cell>
        </row>
        <row r="45">
          <cell r="A45" t="str">
            <v>Total - ADMINISTRATIVE EXPENSES - ADMINISTRATIVE EXPENSES</v>
          </cell>
          <cell r="B45">
            <v>4832.9799999999996</v>
          </cell>
          <cell r="C45">
            <v>4012.98</v>
          </cell>
          <cell r="D45">
            <v>4222.9799999999996</v>
          </cell>
          <cell r="E45">
            <v>4722.9799999999996</v>
          </cell>
          <cell r="F45">
            <v>4632.9799999999996</v>
          </cell>
          <cell r="G45">
            <v>4302.9799999999996</v>
          </cell>
          <cell r="H45">
            <v>4302.9799999999996</v>
          </cell>
          <cell r="I45">
            <v>4612.9799999999996</v>
          </cell>
          <cell r="J45">
            <v>4792.9799999999996</v>
          </cell>
          <cell r="K45">
            <v>4812.9799999999996</v>
          </cell>
          <cell r="L45">
            <v>4292.9799999999996</v>
          </cell>
          <cell r="M45">
            <v>3872.98</v>
          </cell>
          <cell r="N45">
            <v>53595.76</v>
          </cell>
        </row>
        <row r="46">
          <cell r="A46" t="str">
            <v>EMPLOYEE BENEFITS EXPENSE - EMPLOYEE BENEFITS EXPENSE</v>
          </cell>
          <cell r="B46">
            <v>0.34139784946236557</v>
          </cell>
          <cell r="C46">
            <v>0.34231200897867564</v>
          </cell>
          <cell r="D46">
            <v>0.29143546441495777</v>
          </cell>
          <cell r="E46">
            <v>0.3444639718804921</v>
          </cell>
          <cell r="F46">
            <v>0.30474452554744524</v>
          </cell>
          <cell r="G46">
            <v>0.31769263882910032</v>
          </cell>
          <cell r="H46">
            <v>0.35109797297297296</v>
          </cell>
          <cell r="I46">
            <v>0.31192483738858107</v>
          </cell>
          <cell r="J46">
            <v>0.32974925856025883</v>
          </cell>
          <cell r="K46">
            <v>0.31294583883751653</v>
          </cell>
          <cell r="L46">
            <v>0.33097238895558223</v>
          </cell>
          <cell r="M46">
            <v>0.42317757009345797</v>
          </cell>
          <cell r="N46">
            <v>0.32196309569647247</v>
          </cell>
        </row>
        <row r="47">
          <cell r="A47" t="str">
            <v>304001 - Salaries &amp; Wages - Permanent Staff</v>
          </cell>
          <cell r="B47">
            <v>8000</v>
          </cell>
          <cell r="C47">
            <v>8000</v>
          </cell>
          <cell r="D47">
            <v>8400</v>
          </cell>
          <cell r="E47">
            <v>8800</v>
          </cell>
          <cell r="F47">
            <v>8800</v>
          </cell>
          <cell r="G47">
            <v>8400</v>
          </cell>
          <cell r="H47">
            <v>9570</v>
          </cell>
          <cell r="I47">
            <v>8740</v>
          </cell>
          <cell r="J47">
            <v>9152</v>
          </cell>
          <cell r="K47">
            <v>9570</v>
          </cell>
          <cell r="L47">
            <v>9570</v>
          </cell>
          <cell r="M47">
            <v>8320</v>
          </cell>
          <cell r="N47">
            <v>105322</v>
          </cell>
        </row>
        <row r="48">
          <cell r="A48" t="str">
            <v>304004 - Salaries &amp; Wages - Other</v>
          </cell>
          <cell r="B48">
            <v>4700</v>
          </cell>
          <cell r="C48">
            <v>22500</v>
          </cell>
          <cell r="D48">
            <v>52000</v>
          </cell>
          <cell r="E48">
            <v>50000</v>
          </cell>
          <cell r="F48">
            <v>58000</v>
          </cell>
          <cell r="G48">
            <v>28500</v>
          </cell>
          <cell r="H48">
            <v>32000</v>
          </cell>
          <cell r="I48">
            <v>56000</v>
          </cell>
          <cell r="J48">
            <v>52000</v>
          </cell>
          <cell r="K48">
            <v>61500</v>
          </cell>
          <cell r="L48">
            <v>18000</v>
          </cell>
          <cell r="M48">
            <v>3000</v>
          </cell>
          <cell r="N48">
            <v>438200</v>
          </cell>
        </row>
        <row r="49">
          <cell r="A49" t="str">
            <v>304010 - Superannuation</v>
          </cell>
          <cell r="B49">
            <v>1580.1641010000001</v>
          </cell>
          <cell r="C49">
            <v>3678.3391010000005</v>
          </cell>
          <cell r="D49">
            <v>7206.9591810500006</v>
          </cell>
          <cell r="E49">
            <v>7022.5167611000006</v>
          </cell>
          <cell r="F49">
            <v>7965.5167611000006</v>
          </cell>
          <cell r="G49">
            <v>4436.8966810500006</v>
          </cell>
          <cell r="H49">
            <v>5216.9048897700004</v>
          </cell>
          <cell r="I49">
            <v>8057.8128251399994</v>
          </cell>
          <cell r="J49">
            <v>7620.957319872</v>
          </cell>
          <cell r="K49">
            <v>8845.4048897699995</v>
          </cell>
          <cell r="L49">
            <v>3494.90488977</v>
          </cell>
          <cell r="M49">
            <v>1482.59756352</v>
          </cell>
          <cell r="N49">
            <v>66608.974964141991</v>
          </cell>
        </row>
        <row r="50">
          <cell r="A50" t="str">
            <v>304013 - Workers Compensation Insurance</v>
          </cell>
          <cell r="B50">
            <v>130.5352953</v>
          </cell>
          <cell r="C50">
            <v>303.86279530000002</v>
          </cell>
          <cell r="D50">
            <v>595.35749756500002</v>
          </cell>
          <cell r="E50">
            <v>580.12094982999997</v>
          </cell>
          <cell r="F50">
            <v>658.02094982999995</v>
          </cell>
          <cell r="G50">
            <v>366.52624756500001</v>
          </cell>
          <cell r="H50">
            <v>413.00497044012502</v>
          </cell>
          <cell r="I50">
            <v>637.91018199024995</v>
          </cell>
          <cell r="J50">
            <v>603.32578782320002</v>
          </cell>
          <cell r="K50">
            <v>700.26122044012493</v>
          </cell>
          <cell r="L50">
            <v>276.67997044012498</v>
          </cell>
          <cell r="M50">
            <v>117.372307112</v>
          </cell>
          <cell r="N50">
            <v>5382.9781736358245</v>
          </cell>
        </row>
        <row r="51">
          <cell r="A51" t="str">
            <v>304016 - Annual Leave Provision</v>
          </cell>
          <cell r="B51">
            <v>723.05740000000014</v>
          </cell>
          <cell r="C51">
            <v>723.05740000000014</v>
          </cell>
          <cell r="D51">
            <v>759.21027000000004</v>
          </cell>
          <cell r="E51">
            <v>795.36314000000004</v>
          </cell>
          <cell r="F51">
            <v>795.36314000000004</v>
          </cell>
          <cell r="G51">
            <v>759.21027000000004</v>
          </cell>
          <cell r="H51">
            <v>864.95741475</v>
          </cell>
          <cell r="I51">
            <v>789.94020950000004</v>
          </cell>
          <cell r="J51">
            <v>827.17766560000007</v>
          </cell>
          <cell r="K51">
            <v>864.95741475</v>
          </cell>
          <cell r="L51">
            <v>864.95741475</v>
          </cell>
          <cell r="M51">
            <v>751.97969599999999</v>
          </cell>
          <cell r="N51">
            <v>9519.2314353500005</v>
          </cell>
        </row>
        <row r="52">
          <cell r="A52" t="str">
            <v>304019 - Long Service Leave Provision</v>
          </cell>
          <cell r="B52">
            <v>317.5</v>
          </cell>
          <cell r="C52">
            <v>762.5</v>
          </cell>
          <cell r="D52">
            <v>1510</v>
          </cell>
          <cell r="E52">
            <v>1470</v>
          </cell>
          <cell r="F52">
            <v>1670</v>
          </cell>
          <cell r="G52">
            <v>922.5</v>
          </cell>
          <cell r="H52">
            <v>1039.25</v>
          </cell>
          <cell r="I52">
            <v>1618.5</v>
          </cell>
          <cell r="J52">
            <v>1528.8000000000002</v>
          </cell>
          <cell r="K52">
            <v>1776.75</v>
          </cell>
          <cell r="L52">
            <v>689.25</v>
          </cell>
          <cell r="M52">
            <v>283</v>
          </cell>
          <cell r="N52">
            <v>13588.05</v>
          </cell>
        </row>
        <row r="53">
          <cell r="A53" t="str">
            <v>Total - EMPLOYEE BENEFITS EXPENSE - EMPLOYEE BENEFITS EXPENSE</v>
          </cell>
          <cell r="B53">
            <v>15451.2567963</v>
          </cell>
          <cell r="C53">
            <v>35967.759296299999</v>
          </cell>
          <cell r="D53">
            <v>70471.526948614992</v>
          </cell>
          <cell r="E53">
            <v>68668.00085093001</v>
          </cell>
          <cell r="F53">
            <v>77888.900850930004</v>
          </cell>
          <cell r="G53">
            <v>43385.133198615003</v>
          </cell>
          <cell r="H53">
            <v>49104.117274960125</v>
          </cell>
          <cell r="I53">
            <v>75844.163216630259</v>
          </cell>
          <cell r="J53">
            <v>71732.260773295202</v>
          </cell>
          <cell r="K53">
            <v>83257.373524960116</v>
          </cell>
          <cell r="L53">
            <v>32895.792274960128</v>
          </cell>
          <cell r="M53">
            <v>13954.949566632</v>
          </cell>
          <cell r="N53">
            <v>638621.23457312782</v>
          </cell>
        </row>
        <row r="54">
          <cell r="A54" t="str">
            <v>Total - Expenses</v>
          </cell>
          <cell r="B54">
            <v>20284.2367963</v>
          </cell>
          <cell r="C54">
            <v>39980.739296300002</v>
          </cell>
          <cell r="D54">
            <v>74694.506948614988</v>
          </cell>
          <cell r="E54">
            <v>73390.980850930006</v>
          </cell>
          <cell r="F54">
            <v>82521.88085093</v>
          </cell>
          <cell r="G54">
            <v>47688.113198614999</v>
          </cell>
          <cell r="H54">
            <v>53407.097274960121</v>
          </cell>
          <cell r="I54">
            <v>80457.143216630255</v>
          </cell>
          <cell r="J54">
            <v>76525.240773295198</v>
          </cell>
          <cell r="K54">
            <v>88070.353524960112</v>
          </cell>
          <cell r="L54">
            <v>37188.772274960123</v>
          </cell>
          <cell r="M54">
            <v>17827.929566631999</v>
          </cell>
          <cell r="N54">
            <v>692216.99457312783</v>
          </cell>
        </row>
        <row r="55">
          <cell r="A55" t="str">
            <v>Operating Profit</v>
          </cell>
          <cell r="B55">
            <v>3151.7632037000003</v>
          </cell>
          <cell r="C55">
            <v>16152.260703699998</v>
          </cell>
          <cell r="D55">
            <v>55872.993051385012</v>
          </cell>
          <cell r="E55">
            <v>34150.019149069994</v>
          </cell>
          <cell r="F55">
            <v>55574.11914907</v>
          </cell>
          <cell r="G55">
            <v>25486.386801385001</v>
          </cell>
          <cell r="H55">
            <v>21184.902725039879</v>
          </cell>
          <cell r="I55">
            <v>50299.356783369745</v>
          </cell>
          <cell r="J55">
            <v>40308.259226704802</v>
          </cell>
          <cell r="K55">
            <v>55002.646475039888</v>
          </cell>
          <cell r="L55">
            <v>15290.227725039877</v>
          </cell>
          <cell r="M55">
            <v>-975.42956663199948</v>
          </cell>
          <cell r="N55">
            <v>418048.50542687217</v>
          </cell>
        </row>
        <row r="56">
          <cell r="A56" t="str">
            <v>Net Profit/(Loss)</v>
          </cell>
          <cell r="B56">
            <v>3151.7632037000003</v>
          </cell>
          <cell r="C56">
            <v>16152.260703699998</v>
          </cell>
          <cell r="D56">
            <v>55872.993051385012</v>
          </cell>
          <cell r="E56">
            <v>34150.019149069994</v>
          </cell>
          <cell r="F56">
            <v>55574.11914907</v>
          </cell>
          <cell r="G56">
            <v>25486.386801385001</v>
          </cell>
          <cell r="H56">
            <v>21184.902725039879</v>
          </cell>
          <cell r="I56">
            <v>50299.356783369745</v>
          </cell>
          <cell r="J56">
            <v>40308.259226704802</v>
          </cell>
          <cell r="K56">
            <v>55002.646475039888</v>
          </cell>
          <cell r="L56">
            <v>15290.227725039877</v>
          </cell>
          <cell r="M56">
            <v>-975.42956663199948</v>
          </cell>
          <cell r="N56">
            <v>418048.50542687217</v>
          </cell>
          <cell r="O56" t="str">
            <v>goal $380/400k</v>
          </cell>
        </row>
        <row r="58">
          <cell r="A58" t="str">
            <v>2023 wage%</v>
          </cell>
          <cell r="B58">
            <v>43</v>
          </cell>
          <cell r="C58">
            <v>35</v>
          </cell>
          <cell r="D58">
            <v>30</v>
          </cell>
          <cell r="E58">
            <v>35</v>
          </cell>
          <cell r="F58">
            <v>31</v>
          </cell>
          <cell r="G58">
            <v>32</v>
          </cell>
          <cell r="H58">
            <v>36</v>
          </cell>
          <cell r="I58">
            <v>32</v>
          </cell>
          <cell r="J58">
            <v>35</v>
          </cell>
          <cell r="K58">
            <v>32</v>
          </cell>
        </row>
      </sheetData>
      <sheetData sheetId="11">
        <row r="1">
          <cell r="A1" t="str">
            <v>Guild of Undergraduates</v>
          </cell>
        </row>
        <row r="2">
          <cell r="A2" t="str">
            <v>Budget Profit and Loss</v>
          </cell>
        </row>
        <row r="3">
          <cell r="A3" t="str">
            <v>FY 2025</v>
          </cell>
        </row>
        <row r="4">
          <cell r="A4" t="str">
            <v>CATERING ADMIN</v>
          </cell>
        </row>
        <row r="5">
          <cell r="A5" t="str">
            <v/>
          </cell>
        </row>
        <row r="6">
          <cell r="A6" t="str">
            <v>Financial Row</v>
          </cell>
          <cell r="B6">
            <v>45658</v>
          </cell>
          <cell r="C6">
            <v>45689</v>
          </cell>
          <cell r="D6">
            <v>45717</v>
          </cell>
          <cell r="E6">
            <v>45748</v>
          </cell>
          <cell r="F6">
            <v>45778</v>
          </cell>
          <cell r="G6">
            <v>45809</v>
          </cell>
          <cell r="H6">
            <v>45839</v>
          </cell>
          <cell r="I6">
            <v>45870</v>
          </cell>
          <cell r="J6">
            <v>45901</v>
          </cell>
          <cell r="K6">
            <v>45931</v>
          </cell>
          <cell r="L6">
            <v>45962</v>
          </cell>
          <cell r="M6">
            <v>45992</v>
          </cell>
          <cell r="N6" t="str">
            <v>Total</v>
          </cell>
        </row>
        <row r="7">
          <cell r="A7" t="str">
            <v> </v>
          </cell>
          <cell r="B7" t="str">
            <v>Amount</v>
          </cell>
          <cell r="C7" t="str">
            <v>Amount</v>
          </cell>
          <cell r="D7" t="str">
            <v>Amount</v>
          </cell>
          <cell r="E7" t="str">
            <v>Amount</v>
          </cell>
          <cell r="F7" t="str">
            <v>Amount</v>
          </cell>
          <cell r="G7" t="str">
            <v>Amount</v>
          </cell>
          <cell r="H7" t="str">
            <v>Amount</v>
          </cell>
          <cell r="I7" t="str">
            <v>Amount</v>
          </cell>
          <cell r="J7" t="str">
            <v>Amount</v>
          </cell>
          <cell r="K7" t="str">
            <v>Amount</v>
          </cell>
          <cell r="L7" t="str">
            <v>Amount</v>
          </cell>
          <cell r="M7" t="str">
            <v>Amount</v>
          </cell>
          <cell r="N7" t="str">
            <v>Amount</v>
          </cell>
        </row>
        <row r="8">
          <cell r="A8" t="str">
            <v>Gross Profit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Expenses</v>
          </cell>
        </row>
        <row r="10">
          <cell r="A10" t="str">
            <v>ADMINISTRATIVE EXPENSES - ADMINISTRATIVE EXPENSES</v>
          </cell>
        </row>
        <row r="11">
          <cell r="A11" t="str">
            <v>305083 - Advertising &amp; Promotion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305102 - Bank Charges</v>
          </cell>
          <cell r="B12">
            <v>1000</v>
          </cell>
          <cell r="C12">
            <v>2000</v>
          </cell>
          <cell r="D12">
            <v>5000</v>
          </cell>
          <cell r="E12">
            <v>4000</v>
          </cell>
          <cell r="F12">
            <v>5000</v>
          </cell>
          <cell r="G12">
            <v>3000</v>
          </cell>
          <cell r="H12">
            <v>2000</v>
          </cell>
          <cell r="I12">
            <v>5000</v>
          </cell>
          <cell r="J12">
            <v>4000</v>
          </cell>
          <cell r="K12">
            <v>3000</v>
          </cell>
          <cell r="L12">
            <v>3000</v>
          </cell>
          <cell r="M12">
            <v>3000</v>
          </cell>
          <cell r="N12">
            <v>40000</v>
          </cell>
          <cell r="O12" t="str">
            <v>bank charge offset to bank charge income</v>
          </cell>
        </row>
        <row r="13">
          <cell r="A13" t="str">
            <v>305108 - Cleaning Contract</v>
          </cell>
          <cell r="B13">
            <v>110</v>
          </cell>
          <cell r="C13">
            <v>110</v>
          </cell>
          <cell r="D13">
            <v>110</v>
          </cell>
          <cell r="E13">
            <v>110</v>
          </cell>
          <cell r="F13">
            <v>110</v>
          </cell>
          <cell r="G13">
            <v>110</v>
          </cell>
          <cell r="H13">
            <v>110</v>
          </cell>
          <cell r="I13">
            <v>110</v>
          </cell>
          <cell r="J13">
            <v>110</v>
          </cell>
          <cell r="K13">
            <v>110</v>
          </cell>
          <cell r="L13">
            <v>110</v>
          </cell>
          <cell r="M13">
            <v>110</v>
          </cell>
          <cell r="N13">
            <v>1320</v>
          </cell>
        </row>
        <row r="14">
          <cell r="A14" t="str">
            <v>305109 - Cleaning Consumables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A15" t="str">
            <v>305111 - Communication Expenses</v>
          </cell>
          <cell r="B15">
            <v>97</v>
          </cell>
          <cell r="C15">
            <v>97</v>
          </cell>
          <cell r="D15">
            <v>97</v>
          </cell>
          <cell r="E15">
            <v>97</v>
          </cell>
          <cell r="F15">
            <v>200</v>
          </cell>
          <cell r="G15">
            <v>300</v>
          </cell>
          <cell r="H15">
            <v>97</v>
          </cell>
          <cell r="I15">
            <v>97</v>
          </cell>
          <cell r="J15">
            <v>97</v>
          </cell>
          <cell r="K15">
            <v>97</v>
          </cell>
          <cell r="L15">
            <v>97</v>
          </cell>
          <cell r="M15">
            <v>97</v>
          </cell>
          <cell r="N15">
            <v>1470</v>
          </cell>
        </row>
        <row r="16">
          <cell r="A16" t="str">
            <v>305113 - Promotional Materials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A17" t="str">
            <v>305114 - Computer Expenses</v>
          </cell>
          <cell r="B17">
            <v>1100</v>
          </cell>
          <cell r="C17">
            <v>1100</v>
          </cell>
          <cell r="D17">
            <v>1100</v>
          </cell>
          <cell r="E17">
            <v>1100</v>
          </cell>
          <cell r="F17">
            <v>1100</v>
          </cell>
          <cell r="G17">
            <v>1100</v>
          </cell>
          <cell r="H17">
            <v>1100</v>
          </cell>
          <cell r="I17">
            <v>1100</v>
          </cell>
          <cell r="J17">
            <v>1100</v>
          </cell>
          <cell r="K17">
            <v>1100</v>
          </cell>
          <cell r="L17">
            <v>1100</v>
          </cell>
          <cell r="M17">
            <v>1100</v>
          </cell>
          <cell r="N17">
            <v>13200</v>
          </cell>
        </row>
        <row r="18">
          <cell r="A18" t="str">
            <v>305132 - Utilities</v>
          </cell>
          <cell r="B18">
            <v>100</v>
          </cell>
          <cell r="C18">
            <v>100</v>
          </cell>
          <cell r="D18">
            <v>100</v>
          </cell>
          <cell r="E18">
            <v>100</v>
          </cell>
          <cell r="F18">
            <v>100</v>
          </cell>
          <cell r="G18">
            <v>100</v>
          </cell>
          <cell r="H18">
            <v>100</v>
          </cell>
          <cell r="I18">
            <v>100</v>
          </cell>
          <cell r="J18">
            <v>100</v>
          </cell>
          <cell r="K18">
            <v>100</v>
          </cell>
          <cell r="L18">
            <v>100</v>
          </cell>
          <cell r="M18">
            <v>100</v>
          </cell>
          <cell r="N18">
            <v>1200</v>
          </cell>
        </row>
        <row r="19">
          <cell r="A19" t="str">
            <v>305147 - General Expenses</v>
          </cell>
          <cell r="B19">
            <v>150</v>
          </cell>
          <cell r="C19">
            <v>150</v>
          </cell>
          <cell r="D19">
            <v>150</v>
          </cell>
          <cell r="E19">
            <v>150</v>
          </cell>
          <cell r="F19">
            <v>150</v>
          </cell>
          <cell r="G19">
            <v>150</v>
          </cell>
          <cell r="H19">
            <v>150</v>
          </cell>
          <cell r="I19">
            <v>150</v>
          </cell>
          <cell r="J19">
            <v>150</v>
          </cell>
          <cell r="K19">
            <v>150</v>
          </cell>
          <cell r="L19">
            <v>150</v>
          </cell>
          <cell r="M19">
            <v>150</v>
          </cell>
          <cell r="N19">
            <v>1800</v>
          </cell>
        </row>
        <row r="20">
          <cell r="A20" t="str">
            <v>305156 - Laundry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305162 - Licence &amp; Permits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100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100</v>
          </cell>
        </row>
        <row r="22">
          <cell r="A22" t="str">
            <v>305165 - Motor Vehicle Expenses</v>
          </cell>
          <cell r="B22">
            <v>100</v>
          </cell>
          <cell r="C22">
            <v>200</v>
          </cell>
          <cell r="D22">
            <v>2000</v>
          </cell>
          <cell r="E22">
            <v>200</v>
          </cell>
          <cell r="F22">
            <v>200</v>
          </cell>
          <cell r="G22">
            <v>100</v>
          </cell>
          <cell r="H22">
            <v>200</v>
          </cell>
          <cell r="I22">
            <v>200</v>
          </cell>
          <cell r="J22">
            <v>200</v>
          </cell>
          <cell r="K22">
            <v>200</v>
          </cell>
          <cell r="L22">
            <v>200</v>
          </cell>
          <cell r="M22">
            <v>0</v>
          </cell>
          <cell r="N22">
            <v>3800</v>
          </cell>
        </row>
        <row r="23">
          <cell r="A23" t="str">
            <v>305180 - Printing &amp; Stationery</v>
          </cell>
          <cell r="B23">
            <v>150</v>
          </cell>
          <cell r="C23">
            <v>150</v>
          </cell>
          <cell r="D23">
            <v>150</v>
          </cell>
          <cell r="E23">
            <v>150</v>
          </cell>
          <cell r="F23">
            <v>150</v>
          </cell>
          <cell r="G23">
            <v>150</v>
          </cell>
          <cell r="H23">
            <v>150</v>
          </cell>
          <cell r="I23">
            <v>150</v>
          </cell>
          <cell r="J23">
            <v>150</v>
          </cell>
          <cell r="K23">
            <v>150</v>
          </cell>
          <cell r="L23">
            <v>150</v>
          </cell>
          <cell r="M23">
            <v>150</v>
          </cell>
          <cell r="N23">
            <v>1800</v>
          </cell>
        </row>
        <row r="24">
          <cell r="A24" t="str">
            <v>305187 - Software Digital</v>
          </cell>
          <cell r="B24">
            <v>510</v>
          </cell>
          <cell r="C24">
            <v>510</v>
          </cell>
          <cell r="D24">
            <v>510</v>
          </cell>
          <cell r="E24">
            <v>510</v>
          </cell>
          <cell r="F24">
            <v>510</v>
          </cell>
          <cell r="G24">
            <v>510</v>
          </cell>
          <cell r="H24">
            <v>510</v>
          </cell>
          <cell r="I24">
            <v>510</v>
          </cell>
          <cell r="J24">
            <v>510</v>
          </cell>
          <cell r="K24">
            <v>510</v>
          </cell>
          <cell r="L24">
            <v>510</v>
          </cell>
          <cell r="M24">
            <v>510</v>
          </cell>
          <cell r="N24">
            <v>6120</v>
          </cell>
        </row>
        <row r="25">
          <cell r="A25" t="str">
            <v>305189 - Repairs &amp; Maintenance</v>
          </cell>
          <cell r="B25">
            <v>208.33</v>
          </cell>
          <cell r="C25">
            <v>208.33</v>
          </cell>
          <cell r="D25">
            <v>208.33</v>
          </cell>
          <cell r="E25">
            <v>208.33</v>
          </cell>
          <cell r="F25">
            <v>208.33</v>
          </cell>
          <cell r="G25">
            <v>208.33</v>
          </cell>
          <cell r="H25">
            <v>208.33</v>
          </cell>
          <cell r="I25">
            <v>208.33</v>
          </cell>
          <cell r="J25">
            <v>208.33</v>
          </cell>
          <cell r="K25">
            <v>208.33</v>
          </cell>
          <cell r="L25">
            <v>208.33</v>
          </cell>
          <cell r="M25">
            <v>208.37</v>
          </cell>
          <cell r="N25">
            <v>2499.9999999999995</v>
          </cell>
        </row>
        <row r="26">
          <cell r="A26" t="str">
            <v>305219 - Subscriptions</v>
          </cell>
          <cell r="B26">
            <v>0</v>
          </cell>
          <cell r="C26">
            <v>220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220</v>
          </cell>
        </row>
        <row r="27">
          <cell r="A27" t="str">
            <v>306001 - Depreciation - Plant &amp; Equipment</v>
          </cell>
          <cell r="B27">
            <v>132.5</v>
          </cell>
          <cell r="C27">
            <v>132.5</v>
          </cell>
          <cell r="D27">
            <v>132.5</v>
          </cell>
          <cell r="E27">
            <v>132.5</v>
          </cell>
          <cell r="F27">
            <v>132.5</v>
          </cell>
          <cell r="G27">
            <v>132.5</v>
          </cell>
          <cell r="H27">
            <v>132.5</v>
          </cell>
          <cell r="I27">
            <v>132.5</v>
          </cell>
          <cell r="J27">
            <v>132.5</v>
          </cell>
          <cell r="K27">
            <v>132.5</v>
          </cell>
          <cell r="L27">
            <v>132.5</v>
          </cell>
          <cell r="M27">
            <v>132.5</v>
          </cell>
          <cell r="N27">
            <v>1590</v>
          </cell>
        </row>
        <row r="28">
          <cell r="A28" t="str">
            <v>306004 - Depreciation - Computer Equipment</v>
          </cell>
          <cell r="B28">
            <v>2027.09</v>
          </cell>
          <cell r="C28">
            <v>2027.09</v>
          </cell>
          <cell r="D28">
            <v>2027.09</v>
          </cell>
          <cell r="E28">
            <v>2027.09</v>
          </cell>
          <cell r="F28">
            <v>2027.09</v>
          </cell>
          <cell r="G28">
            <v>2027.09</v>
          </cell>
          <cell r="H28">
            <v>2027.09</v>
          </cell>
          <cell r="I28">
            <v>2027.09</v>
          </cell>
          <cell r="J28">
            <v>2027.09</v>
          </cell>
          <cell r="K28">
            <v>2027.09</v>
          </cell>
          <cell r="L28">
            <v>2027.09</v>
          </cell>
          <cell r="M28">
            <v>2027.09</v>
          </cell>
          <cell r="N28">
            <v>24325.079999999998</v>
          </cell>
        </row>
        <row r="29">
          <cell r="A29" t="str">
            <v>306006 - Depreciation - Intangible Assets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A30" t="str">
            <v>Total - ADMINISTRATIVE EXPENSES - ADMINISTRATIVE EXPENSES</v>
          </cell>
          <cell r="B30">
            <v>5684.92</v>
          </cell>
          <cell r="C30">
            <v>7004.92</v>
          </cell>
          <cell r="D30">
            <v>11584.92</v>
          </cell>
          <cell r="E30">
            <v>8784.92</v>
          </cell>
          <cell r="F30">
            <v>9887.92</v>
          </cell>
          <cell r="G30">
            <v>7887.92</v>
          </cell>
          <cell r="H30">
            <v>6884.92</v>
          </cell>
          <cell r="I30">
            <v>9784.92</v>
          </cell>
          <cell r="J30">
            <v>8784.92</v>
          </cell>
          <cell r="K30">
            <v>7784.92</v>
          </cell>
          <cell r="L30">
            <v>7784.92</v>
          </cell>
          <cell r="M30">
            <v>7584.96</v>
          </cell>
          <cell r="N30">
            <v>99445.08</v>
          </cell>
        </row>
        <row r="31">
          <cell r="A31" t="str">
            <v>EMPLOYEE BENEFITS EXPENSE - EMPLOYEE BENEFITS EXPENSE</v>
          </cell>
        </row>
        <row r="32">
          <cell r="A32" t="str">
            <v>304001 - Salaries &amp; Wages - Permanent Staff</v>
          </cell>
          <cell r="B32">
            <v>16157.43722470817</v>
          </cell>
          <cell r="C32">
            <v>17007.828657587546</v>
          </cell>
          <cell r="D32">
            <v>17858.220090466926</v>
          </cell>
          <cell r="E32">
            <v>18708.611523346302</v>
          </cell>
          <cell r="F32">
            <v>19559.002956225679</v>
          </cell>
          <cell r="G32">
            <v>17007.828657587546</v>
          </cell>
          <cell r="H32">
            <v>19559.002956225679</v>
          </cell>
          <cell r="I32">
            <v>18708.611523346302</v>
          </cell>
          <cell r="J32">
            <v>17858.220090466926</v>
          </cell>
          <cell r="K32">
            <v>19559.002956225679</v>
          </cell>
          <cell r="L32">
            <v>17858.220090466926</v>
          </cell>
          <cell r="M32">
            <v>20883.611523346302</v>
          </cell>
          <cell r="N32">
            <v>220725.59825000001</v>
          </cell>
        </row>
        <row r="33">
          <cell r="A33" t="str">
            <v>304010 - Superannuation</v>
          </cell>
          <cell r="B33">
            <v>3365.2773147168423</v>
          </cell>
          <cell r="C33">
            <v>3542.3971733861499</v>
          </cell>
          <cell r="D33">
            <v>3719.5170320554571</v>
          </cell>
          <cell r="E33">
            <v>3896.6368907247647</v>
          </cell>
          <cell r="F33">
            <v>4073.7567493940724</v>
          </cell>
          <cell r="G33">
            <v>3542.3971733861499</v>
          </cell>
          <cell r="H33">
            <v>4182.3864971361463</v>
          </cell>
          <cell r="I33">
            <v>4000.5436059563135</v>
          </cell>
          <cell r="J33">
            <v>3818.7007147764807</v>
          </cell>
          <cell r="K33">
            <v>4182.3864971361463</v>
          </cell>
          <cell r="L33">
            <v>3818.7007147764807</v>
          </cell>
          <cell r="M33">
            <v>4424.6686059563135</v>
          </cell>
          <cell r="N33">
            <v>46567.368969401323</v>
          </cell>
        </row>
        <row r="34">
          <cell r="A34" t="str">
            <v>304013 - Workers Compensation Insurance</v>
          </cell>
          <cell r="B34">
            <v>170.50147362995034</v>
          </cell>
          <cell r="C34">
            <v>179.47523539994774</v>
          </cell>
          <cell r="D34">
            <v>188.44899716994513</v>
          </cell>
          <cell r="E34">
            <v>197.42275893994253</v>
          </cell>
          <cell r="F34">
            <v>206.39652070993989</v>
          </cell>
          <cell r="G34">
            <v>179.47523539994774</v>
          </cell>
          <cell r="H34">
            <v>206.39652070993989</v>
          </cell>
          <cell r="I34">
            <v>197.42275893994253</v>
          </cell>
          <cell r="J34">
            <v>188.44899716994513</v>
          </cell>
          <cell r="K34">
            <v>206.39652070993989</v>
          </cell>
          <cell r="L34">
            <v>188.44899716994513</v>
          </cell>
          <cell r="M34">
            <v>197.56275893994251</v>
          </cell>
          <cell r="N34">
            <v>2306.3967748893283</v>
          </cell>
        </row>
        <row r="35">
          <cell r="A35" t="str">
            <v>304016 - Annual Leave Provision</v>
          </cell>
          <cell r="B35">
            <v>1989.7488187950885</v>
          </cell>
          <cell r="C35">
            <v>1537.2045461000932</v>
          </cell>
          <cell r="D35">
            <v>1614.0647734050979</v>
          </cell>
          <cell r="E35">
            <v>1690.9250007101025</v>
          </cell>
          <cell r="F35">
            <v>1767.7852280151071</v>
          </cell>
          <cell r="G35">
            <v>1537.2045461000932</v>
          </cell>
          <cell r="H35">
            <v>1767.7852280151071</v>
          </cell>
          <cell r="I35">
            <v>1690.9250007101025</v>
          </cell>
          <cell r="J35">
            <v>1614.0647734050979</v>
          </cell>
          <cell r="K35">
            <v>1767.7852280151071</v>
          </cell>
          <cell r="L35">
            <v>1614.0647734050979</v>
          </cell>
          <cell r="M35">
            <v>1690.9250007101025</v>
          </cell>
          <cell r="N35">
            <v>20282.482917386198</v>
          </cell>
        </row>
        <row r="36">
          <cell r="A36" t="str">
            <v>304019 - Long Service Leave Provision</v>
          </cell>
          <cell r="B36">
            <v>932.77199649151476</v>
          </cell>
          <cell r="C36">
            <v>347.09683841212063</v>
          </cell>
          <cell r="D36">
            <v>364.45168033272665</v>
          </cell>
          <cell r="E36">
            <v>381.80652225333273</v>
          </cell>
          <cell r="F36">
            <v>399.16136417393875</v>
          </cell>
          <cell r="G36">
            <v>347.09683841212063</v>
          </cell>
          <cell r="H36">
            <v>399.16136417393875</v>
          </cell>
          <cell r="I36">
            <v>381.80652225333273</v>
          </cell>
          <cell r="J36">
            <v>364.45168033272665</v>
          </cell>
          <cell r="K36">
            <v>399.16136417393875</v>
          </cell>
          <cell r="L36">
            <v>364.45168033272665</v>
          </cell>
          <cell r="M36">
            <v>381.80652225333273</v>
          </cell>
          <cell r="N36">
            <v>5063.22437359575</v>
          </cell>
        </row>
        <row r="37">
          <cell r="A37" t="str">
            <v>Total - EMPLOYEE BENEFITS EXPENSE - EMPLOYEE BENEFITS EXPENSE</v>
          </cell>
          <cell r="B37">
            <v>22615.736828341564</v>
          </cell>
          <cell r="C37">
            <v>22614.002450885855</v>
          </cell>
          <cell r="D37">
            <v>23744.702573430153</v>
          </cell>
          <cell r="E37">
            <v>24875.402695974444</v>
          </cell>
          <cell r="F37">
            <v>26006.102818518735</v>
          </cell>
          <cell r="G37">
            <v>22614.002450885855</v>
          </cell>
          <cell r="H37">
            <v>26114.732566260809</v>
          </cell>
          <cell r="I37">
            <v>24979.309411205995</v>
          </cell>
          <cell r="J37">
            <v>23843.886256151178</v>
          </cell>
          <cell r="K37">
            <v>26114.732566260809</v>
          </cell>
          <cell r="L37">
            <v>23843.886256151178</v>
          </cell>
          <cell r="M37">
            <v>27578.574411205995</v>
          </cell>
          <cell r="N37">
            <v>294945.0712852726</v>
          </cell>
        </row>
        <row r="38">
          <cell r="A38" t="str">
            <v>Total - Expenses</v>
          </cell>
          <cell r="B38">
            <v>28300.656828341562</v>
          </cell>
          <cell r="C38">
            <v>29618.922450885853</v>
          </cell>
          <cell r="D38">
            <v>35329.622573430155</v>
          </cell>
          <cell r="E38">
            <v>33660.322695974442</v>
          </cell>
          <cell r="F38">
            <v>35894.022818518737</v>
          </cell>
          <cell r="G38">
            <v>30501.922450885853</v>
          </cell>
          <cell r="H38">
            <v>32999.652566260811</v>
          </cell>
          <cell r="I38">
            <v>34764.229411205997</v>
          </cell>
          <cell r="J38">
            <v>32628.806256151176</v>
          </cell>
          <cell r="K38">
            <v>33899.652566260811</v>
          </cell>
          <cell r="L38">
            <v>31628.806256151176</v>
          </cell>
          <cell r="M38">
            <v>35163.534411205997</v>
          </cell>
          <cell r="N38">
            <v>394390.15128527262</v>
          </cell>
        </row>
        <row r="39">
          <cell r="A39" t="str">
            <v>Operating Profit</v>
          </cell>
          <cell r="B39">
            <v>-28300.656828341562</v>
          </cell>
          <cell r="C39">
            <v>-29618.922450885853</v>
          </cell>
          <cell r="D39">
            <v>-35329.622573430155</v>
          </cell>
          <cell r="E39">
            <v>-33660.322695974442</v>
          </cell>
          <cell r="F39">
            <v>-35894.022818518737</v>
          </cell>
          <cell r="G39">
            <v>-30501.922450885853</v>
          </cell>
          <cell r="H39">
            <v>-32999.652566260811</v>
          </cell>
          <cell r="I39">
            <v>-34764.229411205997</v>
          </cell>
          <cell r="J39">
            <v>-32628.806256151176</v>
          </cell>
          <cell r="K39">
            <v>-33899.652566260811</v>
          </cell>
          <cell r="L39">
            <v>-31628.806256151176</v>
          </cell>
          <cell r="M39">
            <v>-35163.534411205997</v>
          </cell>
          <cell r="N39">
            <v>-394390.15128527262</v>
          </cell>
        </row>
        <row r="40">
          <cell r="A40" t="str">
            <v>Other Income</v>
          </cell>
        </row>
        <row r="41">
          <cell r="A41" t="str">
            <v>OTHER INCOME - OTHER INCOME</v>
          </cell>
        </row>
        <row r="42">
          <cell r="A42" t="str">
            <v>103085 - Bank Charges Income</v>
          </cell>
          <cell r="B42">
            <v>1000</v>
          </cell>
          <cell r="C42">
            <v>2000</v>
          </cell>
          <cell r="D42">
            <v>5000</v>
          </cell>
          <cell r="E42">
            <v>4000</v>
          </cell>
          <cell r="F42">
            <v>5000</v>
          </cell>
          <cell r="G42">
            <v>3000</v>
          </cell>
          <cell r="H42">
            <v>2000</v>
          </cell>
          <cell r="I42">
            <v>5000</v>
          </cell>
          <cell r="J42">
            <v>4000</v>
          </cell>
          <cell r="K42">
            <v>3000</v>
          </cell>
          <cell r="L42">
            <v>3000</v>
          </cell>
          <cell r="M42">
            <v>3000</v>
          </cell>
          <cell r="N42">
            <v>40000</v>
          </cell>
        </row>
        <row r="43">
          <cell r="A43" t="str">
            <v>Total - OTHER INCOME - OTHER INCOME</v>
          </cell>
          <cell r="B43">
            <v>1000</v>
          </cell>
          <cell r="C43">
            <v>2000</v>
          </cell>
          <cell r="D43">
            <v>5000</v>
          </cell>
          <cell r="E43">
            <v>4000</v>
          </cell>
          <cell r="F43">
            <v>5000</v>
          </cell>
          <cell r="G43">
            <v>3000</v>
          </cell>
          <cell r="H43">
            <v>2000</v>
          </cell>
          <cell r="I43">
            <v>5000</v>
          </cell>
          <cell r="J43">
            <v>4000</v>
          </cell>
          <cell r="K43">
            <v>3000</v>
          </cell>
          <cell r="L43">
            <v>3000</v>
          </cell>
          <cell r="M43">
            <v>3000</v>
          </cell>
          <cell r="N43">
            <v>40000</v>
          </cell>
        </row>
        <row r="44">
          <cell r="A44" t="str">
            <v>Total - Other Income</v>
          </cell>
          <cell r="B44">
            <v>1000</v>
          </cell>
          <cell r="C44">
            <v>2000</v>
          </cell>
          <cell r="D44">
            <v>5000</v>
          </cell>
          <cell r="E44">
            <v>4000</v>
          </cell>
          <cell r="F44">
            <v>5000</v>
          </cell>
          <cell r="G44">
            <v>3000</v>
          </cell>
          <cell r="H44">
            <v>2000</v>
          </cell>
          <cell r="I44">
            <v>5000</v>
          </cell>
          <cell r="J44">
            <v>4000</v>
          </cell>
          <cell r="K44">
            <v>3000</v>
          </cell>
          <cell r="L44">
            <v>3000</v>
          </cell>
          <cell r="M44">
            <v>3000</v>
          </cell>
          <cell r="N44">
            <v>40000</v>
          </cell>
        </row>
        <row r="45">
          <cell r="A45" t="str">
            <v>Net Profit/(Loss)</v>
          </cell>
          <cell r="B45">
            <v>-27300.656828341562</v>
          </cell>
          <cell r="C45">
            <v>-27618.922450885853</v>
          </cell>
          <cell r="D45">
            <v>-30329.622573430155</v>
          </cell>
          <cell r="E45">
            <v>-29660.322695974442</v>
          </cell>
          <cell r="F45">
            <v>-30894.022818518737</v>
          </cell>
          <cell r="G45">
            <v>-27501.922450885853</v>
          </cell>
          <cell r="H45">
            <v>-30999.652566260811</v>
          </cell>
          <cell r="I45">
            <v>-29764.229411205997</v>
          </cell>
          <cell r="J45">
            <v>-28628.806256151176</v>
          </cell>
          <cell r="K45">
            <v>-30899.652566260811</v>
          </cell>
          <cell r="L45">
            <v>-28628.806256151176</v>
          </cell>
          <cell r="M45">
            <v>-32163.534411205997</v>
          </cell>
          <cell r="N45">
            <v>-354390.15128527262</v>
          </cell>
        </row>
      </sheetData>
      <sheetData sheetId="12">
        <row r="1">
          <cell r="A1" t="str">
            <v>Guild of Undergraduates</v>
          </cell>
        </row>
        <row r="2">
          <cell r="A2" t="str">
            <v>Budget Profit and Loss</v>
          </cell>
        </row>
        <row r="3">
          <cell r="A3" t="str">
            <v>FY 2025</v>
          </cell>
        </row>
        <row r="4">
          <cell r="A4" t="str">
            <v>TAVERN</v>
          </cell>
        </row>
        <row r="5">
          <cell r="A5" t="str">
            <v/>
          </cell>
        </row>
        <row r="6">
          <cell r="A6" t="str">
            <v>Financial Row</v>
          </cell>
          <cell r="B6">
            <v>45658</v>
          </cell>
          <cell r="C6">
            <v>45690</v>
          </cell>
          <cell r="D6">
            <v>45722</v>
          </cell>
          <cell r="E6">
            <v>45754</v>
          </cell>
          <cell r="F6">
            <v>45786</v>
          </cell>
          <cell r="G6">
            <v>45818</v>
          </cell>
          <cell r="H6">
            <v>45850</v>
          </cell>
          <cell r="I6">
            <v>45882</v>
          </cell>
          <cell r="J6">
            <v>45914</v>
          </cell>
          <cell r="K6">
            <v>45946</v>
          </cell>
          <cell r="L6">
            <v>45978</v>
          </cell>
          <cell r="M6">
            <v>46010</v>
          </cell>
          <cell r="N6" t="str">
            <v>Total</v>
          </cell>
        </row>
        <row r="7">
          <cell r="A7" t="str">
            <v> </v>
          </cell>
          <cell r="B7" t="str">
            <v>Amount</v>
          </cell>
          <cell r="C7" t="str">
            <v>Amount</v>
          </cell>
          <cell r="D7" t="str">
            <v>Amount</v>
          </cell>
          <cell r="E7" t="str">
            <v>Amount</v>
          </cell>
          <cell r="F7" t="str">
            <v>Amount</v>
          </cell>
          <cell r="G7" t="str">
            <v>Amount</v>
          </cell>
          <cell r="H7" t="str">
            <v>Amount</v>
          </cell>
          <cell r="I7" t="str">
            <v>Amount</v>
          </cell>
          <cell r="J7" t="str">
            <v>Amount</v>
          </cell>
          <cell r="K7" t="str">
            <v>Amount</v>
          </cell>
          <cell r="L7" t="str">
            <v>Amount</v>
          </cell>
          <cell r="M7" t="str">
            <v>Amount</v>
          </cell>
          <cell r="N7" t="str">
            <v>Amount</v>
          </cell>
        </row>
        <row r="8">
          <cell r="A8" t="str">
            <v>Income</v>
          </cell>
        </row>
        <row r="9">
          <cell r="A9" t="str">
            <v>SALES CATERING DISCOUNT - SALES CATERING DISCOUNT</v>
          </cell>
        </row>
        <row r="10">
          <cell r="A10" t="str">
            <v>102000 - Guild Member Discount</v>
          </cell>
          <cell r="B10">
            <v>-34.511367000000007</v>
          </cell>
          <cell r="C10">
            <v>-1535.7558314999999</v>
          </cell>
          <cell r="D10">
            <v>-2815.8138074999997</v>
          </cell>
          <cell r="E10">
            <v>-1451.0461124999999</v>
          </cell>
          <cell r="F10">
            <v>-1793.0223854999999</v>
          </cell>
          <cell r="G10">
            <v>-768.66226500000005</v>
          </cell>
          <cell r="H10">
            <v>-1109.0698394999999</v>
          </cell>
          <cell r="I10">
            <v>-2133.4299600000004</v>
          </cell>
          <cell r="J10">
            <v>-1366.3363935</v>
          </cell>
          <cell r="K10">
            <v>-1741.2553349999998</v>
          </cell>
          <cell r="L10">
            <v>-818.86061700000005</v>
          </cell>
          <cell r="M10">
            <v>-119.221086</v>
          </cell>
          <cell r="N10">
            <v>-15686.985000000001</v>
          </cell>
        </row>
        <row r="11">
          <cell r="A11" t="str">
            <v>102003 - Other Promotional Discounts</v>
          </cell>
          <cell r="B11">
            <v>-172.55683500000001</v>
          </cell>
          <cell r="C11">
            <v>-7678.7791574999992</v>
          </cell>
          <cell r="D11">
            <v>-14079.069037499998</v>
          </cell>
          <cell r="E11">
            <v>-7255.2305624999999</v>
          </cell>
          <cell r="F11">
            <v>-8965.1119275000001</v>
          </cell>
          <cell r="G11">
            <v>-3843.3113250000001</v>
          </cell>
          <cell r="H11">
            <v>-5545.3491974999997</v>
          </cell>
          <cell r="I11">
            <v>-10667.149800000001</v>
          </cell>
          <cell r="J11">
            <v>-6831.6819674999997</v>
          </cell>
          <cell r="K11">
            <v>-8706.2766749999992</v>
          </cell>
          <cell r="L11">
            <v>-4094.303085</v>
          </cell>
          <cell r="M11">
            <v>-596.10542999999996</v>
          </cell>
          <cell r="N11">
            <v>-78434.925000000003</v>
          </cell>
        </row>
        <row r="12">
          <cell r="A12" t="str">
            <v>Total - SALES CATERING DISCOUNT - SALES CATERING DISCOUNT</v>
          </cell>
          <cell r="B12">
            <v>-207.06820200000001</v>
          </cell>
          <cell r="C12">
            <v>-9214.5349889999998</v>
          </cell>
          <cell r="D12">
            <v>-16894.882844999996</v>
          </cell>
          <cell r="E12">
            <v>-8706.2766749999992</v>
          </cell>
          <cell r="F12">
            <v>-10758.134313</v>
          </cell>
          <cell r="G12">
            <v>-4611.9735900000005</v>
          </cell>
          <cell r="H12">
            <v>-6654.4190369999997</v>
          </cell>
          <cell r="I12">
            <v>-12800.579760000001</v>
          </cell>
          <cell r="J12">
            <v>-8198.0183610000004</v>
          </cell>
          <cell r="K12">
            <v>-10447.532009999999</v>
          </cell>
          <cell r="L12">
            <v>-4913.1637019999998</v>
          </cell>
          <cell r="M12">
            <v>-715.32651599999997</v>
          </cell>
          <cell r="N12">
            <v>-94121.91</v>
          </cell>
        </row>
        <row r="13">
          <cell r="A13" t="str">
            <v>SALES OF GOODS - SALES OF GOODS</v>
          </cell>
        </row>
        <row r="14">
          <cell r="A14" t="str">
            <v>101001 - Sales - Catering</v>
          </cell>
          <cell r="B14">
            <v>2300.7578000000003</v>
          </cell>
          <cell r="C14">
            <v>102383.7221</v>
          </cell>
          <cell r="D14">
            <v>187720.92049999998</v>
          </cell>
          <cell r="E14">
            <v>96736.407500000001</v>
          </cell>
          <cell r="F14">
            <v>119534.8257</v>
          </cell>
          <cell r="G14">
            <v>51244.151000000005</v>
          </cell>
          <cell r="H14">
            <v>73937.989300000001</v>
          </cell>
          <cell r="I14">
            <v>142228.66400000002</v>
          </cell>
          <cell r="J14">
            <v>91089.092900000003</v>
          </cell>
          <cell r="K14">
            <v>116083.689</v>
          </cell>
          <cell r="L14">
            <v>54590.707800000004</v>
          </cell>
          <cell r="M14">
            <v>7948.0724</v>
          </cell>
          <cell r="N14">
            <v>1045799</v>
          </cell>
        </row>
        <row r="15">
          <cell r="A15" t="str">
            <v>Total - SALES OF GOODS - SALES OF GOODS</v>
          </cell>
          <cell r="B15">
            <v>2300.7578000000003</v>
          </cell>
          <cell r="C15">
            <v>102383.7221</v>
          </cell>
          <cell r="D15">
            <v>187720.92049999998</v>
          </cell>
          <cell r="E15">
            <v>96736.407500000001</v>
          </cell>
          <cell r="F15">
            <v>119534.8257</v>
          </cell>
          <cell r="G15">
            <v>51244.151000000005</v>
          </cell>
          <cell r="H15">
            <v>73937.989300000001</v>
          </cell>
          <cell r="I15">
            <v>142228.66400000002</v>
          </cell>
          <cell r="J15">
            <v>91089.092900000003</v>
          </cell>
          <cell r="K15">
            <v>116083.689</v>
          </cell>
          <cell r="L15">
            <v>54590.707800000004</v>
          </cell>
          <cell r="M15">
            <v>7948.0724</v>
          </cell>
          <cell r="N15">
            <v>1045799</v>
          </cell>
        </row>
        <row r="16">
          <cell r="A16" t="str">
            <v>Total - Income</v>
          </cell>
          <cell r="B16">
            <v>2093.6895980000004</v>
          </cell>
          <cell r="C16">
            <v>93169.187111000007</v>
          </cell>
          <cell r="D16">
            <v>170826.03765499999</v>
          </cell>
          <cell r="E16">
            <v>88030.130825</v>
          </cell>
          <cell r="F16">
            <v>108776.691387</v>
          </cell>
          <cell r="G16">
            <v>46632.177410000004</v>
          </cell>
          <cell r="H16">
            <v>67283.570263000001</v>
          </cell>
          <cell r="I16">
            <v>129428.08424000003</v>
          </cell>
          <cell r="J16">
            <v>82891.074539000008</v>
          </cell>
          <cell r="K16">
            <v>105636.15699</v>
          </cell>
          <cell r="L16">
            <v>49677.544098000006</v>
          </cell>
          <cell r="M16">
            <v>7232.7458839999999</v>
          </cell>
          <cell r="N16">
            <v>951677.09</v>
          </cell>
        </row>
        <row r="17">
          <cell r="A17" t="str">
            <v>Cost Of Sales</v>
          </cell>
        </row>
        <row r="18">
          <cell r="A18" t="str">
            <v>201070 - Cost of Goods Sold</v>
          </cell>
          <cell r="B18">
            <v>732.79135930000007</v>
          </cell>
          <cell r="C18">
            <v>32609.215488850001</v>
          </cell>
          <cell r="D18">
            <v>59789.113179249995</v>
          </cell>
          <cell r="E18">
            <v>30810.545788749998</v>
          </cell>
          <cell r="F18">
            <v>38071.841985449995</v>
          </cell>
          <cell r="G18">
            <v>16321.2620935</v>
          </cell>
          <cell r="H18">
            <v>23549.249592050001</v>
          </cell>
          <cell r="I18">
            <v>45299.829484000009</v>
          </cell>
          <cell r="J18">
            <v>29011.876088650002</v>
          </cell>
          <cell r="K18">
            <v>36972.654946499999</v>
          </cell>
          <cell r="L18">
            <v>17387.140434299999</v>
          </cell>
          <cell r="M18">
            <v>2531.4610593999996</v>
          </cell>
          <cell r="N18">
            <v>333086.98150000005</v>
          </cell>
        </row>
        <row r="19">
          <cell r="A19" t="str">
            <v>Total - Cost Of Sales</v>
          </cell>
          <cell r="B19">
            <v>732.79135930000007</v>
          </cell>
          <cell r="C19">
            <v>32609.215488850001</v>
          </cell>
          <cell r="D19">
            <v>59789.113179249995</v>
          </cell>
          <cell r="E19">
            <v>30810.545788749998</v>
          </cell>
          <cell r="F19">
            <v>38071.841985449995</v>
          </cell>
          <cell r="G19">
            <v>16321.2620935</v>
          </cell>
          <cell r="H19">
            <v>23549.249592050001</v>
          </cell>
          <cell r="I19">
            <v>45299.829484000009</v>
          </cell>
          <cell r="J19">
            <v>29011.876088650002</v>
          </cell>
          <cell r="K19">
            <v>36972.654946499999</v>
          </cell>
          <cell r="L19">
            <v>17387.140434299999</v>
          </cell>
          <cell r="M19">
            <v>2531.4610593999996</v>
          </cell>
          <cell r="N19">
            <v>333086.98150000005</v>
          </cell>
        </row>
        <row r="20">
          <cell r="A20" t="str">
            <v>Gross Profit</v>
          </cell>
          <cell r="B20">
            <v>1360.8982387000003</v>
          </cell>
          <cell r="C20">
            <v>60559.971622150006</v>
          </cell>
          <cell r="D20">
            <v>111036.92447575</v>
          </cell>
          <cell r="E20">
            <v>57219.585036250006</v>
          </cell>
          <cell r="F20">
            <v>70704.849401550004</v>
          </cell>
          <cell r="G20">
            <v>30310.915316500003</v>
          </cell>
          <cell r="H20">
            <v>43734.320670950001</v>
          </cell>
          <cell r="I20">
            <v>84128.254756000009</v>
          </cell>
          <cell r="J20">
            <v>53879.198450350006</v>
          </cell>
          <cell r="K20">
            <v>68663.502043500004</v>
          </cell>
          <cell r="L20">
            <v>32290.403663700006</v>
          </cell>
          <cell r="M20">
            <v>4701.2848246000003</v>
          </cell>
          <cell r="N20">
            <v>618590.10849999986</v>
          </cell>
          <cell r="P20">
            <v>0.64999999999999991</v>
          </cell>
        </row>
        <row r="21">
          <cell r="A21" t="str">
            <v>Expenses</v>
          </cell>
        </row>
        <row r="22">
          <cell r="A22" t="str">
            <v>ADMINISTRATIVE EXPENSES - ADMINISTRATIVE EXPENSES</v>
          </cell>
        </row>
        <row r="23">
          <cell r="A23" t="str">
            <v>305057 - Website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120</v>
          </cell>
          <cell r="H23">
            <v>0</v>
          </cell>
          <cell r="I23">
            <v>410</v>
          </cell>
          <cell r="J23">
            <v>370</v>
          </cell>
          <cell r="K23">
            <v>0</v>
          </cell>
          <cell r="L23">
            <v>0</v>
          </cell>
          <cell r="M23">
            <v>0</v>
          </cell>
          <cell r="N23">
            <v>900</v>
          </cell>
        </row>
        <row r="24">
          <cell r="A24" t="str">
            <v>305039 - Hire of Bands &amp; DJs</v>
          </cell>
          <cell r="B24">
            <v>0</v>
          </cell>
          <cell r="C24">
            <v>300</v>
          </cell>
          <cell r="D24">
            <v>1200</v>
          </cell>
          <cell r="E24">
            <v>900</v>
          </cell>
          <cell r="F24">
            <v>1200</v>
          </cell>
          <cell r="G24">
            <v>0</v>
          </cell>
          <cell r="H24">
            <v>300</v>
          </cell>
          <cell r="I24">
            <v>1200</v>
          </cell>
          <cell r="J24">
            <v>1200</v>
          </cell>
          <cell r="K24">
            <v>6700</v>
          </cell>
          <cell r="L24">
            <v>0</v>
          </cell>
          <cell r="M24">
            <v>0</v>
          </cell>
          <cell r="N24">
            <v>13000</v>
          </cell>
        </row>
        <row r="25">
          <cell r="A25" t="str">
            <v>305055 - Tavern Entertainment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</row>
        <row r="26">
          <cell r="A26" t="str">
            <v>305082 - Pool Table Expenses</v>
          </cell>
          <cell r="B26">
            <v>0</v>
          </cell>
          <cell r="C26">
            <v>150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150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300</v>
          </cell>
        </row>
        <row r="27">
          <cell r="A27" t="str">
            <v>305083 - Advertising &amp; Promotion</v>
          </cell>
          <cell r="B27">
            <v>500</v>
          </cell>
          <cell r="C27">
            <v>1000</v>
          </cell>
          <cell r="D27">
            <v>1000</v>
          </cell>
          <cell r="E27">
            <v>500</v>
          </cell>
          <cell r="F27">
            <v>1000</v>
          </cell>
          <cell r="G27">
            <v>800</v>
          </cell>
          <cell r="H27">
            <v>200</v>
          </cell>
          <cell r="I27">
            <v>1000</v>
          </cell>
          <cell r="J27">
            <v>1000</v>
          </cell>
          <cell r="K27">
            <v>1000</v>
          </cell>
          <cell r="L27">
            <v>500</v>
          </cell>
          <cell r="M27">
            <v>0</v>
          </cell>
          <cell r="N27">
            <v>8500</v>
          </cell>
        </row>
        <row r="28">
          <cell r="A28" t="str">
            <v>305102 - Bank Charges</v>
          </cell>
          <cell r="B28">
            <v>380</v>
          </cell>
          <cell r="C28">
            <v>1400</v>
          </cell>
          <cell r="D28">
            <v>1900</v>
          </cell>
          <cell r="E28">
            <v>1500</v>
          </cell>
          <cell r="F28">
            <v>1800</v>
          </cell>
          <cell r="G28">
            <v>800</v>
          </cell>
          <cell r="H28">
            <v>800</v>
          </cell>
          <cell r="I28">
            <v>1060</v>
          </cell>
          <cell r="J28">
            <v>1000</v>
          </cell>
          <cell r="K28">
            <v>1700</v>
          </cell>
          <cell r="L28">
            <v>1000</v>
          </cell>
          <cell r="M28">
            <v>400</v>
          </cell>
          <cell r="N28">
            <v>13740</v>
          </cell>
        </row>
        <row r="29">
          <cell r="A29" t="str">
            <v>305108 - Cleaning Contract</v>
          </cell>
          <cell r="B29">
            <v>1370</v>
          </cell>
          <cell r="C29">
            <v>1400</v>
          </cell>
          <cell r="D29">
            <v>3500</v>
          </cell>
          <cell r="E29">
            <v>2300</v>
          </cell>
          <cell r="F29">
            <v>1700</v>
          </cell>
          <cell r="G29">
            <v>3000</v>
          </cell>
          <cell r="H29">
            <v>1500</v>
          </cell>
          <cell r="I29">
            <v>2400</v>
          </cell>
          <cell r="J29">
            <v>2250</v>
          </cell>
          <cell r="K29">
            <v>1600</v>
          </cell>
          <cell r="L29">
            <v>1600</v>
          </cell>
          <cell r="M29">
            <v>3000</v>
          </cell>
          <cell r="N29">
            <v>25620</v>
          </cell>
        </row>
        <row r="30">
          <cell r="A30" t="str">
            <v>305109 - Cleaning Consumables</v>
          </cell>
          <cell r="B30">
            <v>0</v>
          </cell>
          <cell r="C30">
            <v>100</v>
          </cell>
          <cell r="D30">
            <v>150</v>
          </cell>
          <cell r="E30">
            <v>50</v>
          </cell>
          <cell r="F30">
            <v>50</v>
          </cell>
          <cell r="G30">
            <v>150</v>
          </cell>
          <cell r="H30">
            <v>50</v>
          </cell>
          <cell r="I30">
            <v>150</v>
          </cell>
          <cell r="J30">
            <v>300</v>
          </cell>
          <cell r="K30">
            <v>150</v>
          </cell>
          <cell r="L30">
            <v>100</v>
          </cell>
          <cell r="M30">
            <v>0</v>
          </cell>
          <cell r="N30">
            <v>1250</v>
          </cell>
        </row>
        <row r="31">
          <cell r="A31" t="str">
            <v>305111 - Communication Expenses</v>
          </cell>
          <cell r="B31">
            <v>140</v>
          </cell>
          <cell r="C31">
            <v>120</v>
          </cell>
          <cell r="D31">
            <v>120</v>
          </cell>
          <cell r="E31">
            <v>120</v>
          </cell>
          <cell r="F31">
            <v>120</v>
          </cell>
          <cell r="G31">
            <v>120</v>
          </cell>
          <cell r="H31">
            <v>120</v>
          </cell>
          <cell r="I31">
            <v>120</v>
          </cell>
          <cell r="J31">
            <v>120</v>
          </cell>
          <cell r="K31">
            <v>120</v>
          </cell>
          <cell r="L31">
            <v>120</v>
          </cell>
          <cell r="M31">
            <v>120</v>
          </cell>
          <cell r="N31">
            <v>1460</v>
          </cell>
        </row>
        <row r="32">
          <cell r="A32" t="str">
            <v>305112 - Paper Products &amp; Packaging</v>
          </cell>
          <cell r="B32">
            <v>0</v>
          </cell>
          <cell r="C32">
            <v>500</v>
          </cell>
          <cell r="D32">
            <v>600</v>
          </cell>
          <cell r="E32">
            <v>800</v>
          </cell>
          <cell r="F32">
            <v>1100</v>
          </cell>
          <cell r="G32">
            <v>400</v>
          </cell>
          <cell r="H32">
            <v>400</v>
          </cell>
          <cell r="I32">
            <v>1100</v>
          </cell>
          <cell r="J32">
            <v>500</v>
          </cell>
          <cell r="K32">
            <v>300</v>
          </cell>
          <cell r="L32">
            <v>300</v>
          </cell>
          <cell r="M32">
            <v>0</v>
          </cell>
          <cell r="N32">
            <v>6000</v>
          </cell>
        </row>
        <row r="33">
          <cell r="A33" t="str">
            <v>305132 - Utilities</v>
          </cell>
          <cell r="B33">
            <v>1150</v>
          </cell>
          <cell r="C33">
            <v>900</v>
          </cell>
          <cell r="D33">
            <v>1050</v>
          </cell>
          <cell r="E33">
            <v>900</v>
          </cell>
          <cell r="F33">
            <v>1050</v>
          </cell>
          <cell r="G33">
            <v>950</v>
          </cell>
          <cell r="H33">
            <v>1500</v>
          </cell>
          <cell r="I33">
            <v>1500</v>
          </cell>
          <cell r="J33">
            <v>900</v>
          </cell>
          <cell r="K33">
            <v>950</v>
          </cell>
          <cell r="L33">
            <v>900</v>
          </cell>
          <cell r="M33">
            <v>1150</v>
          </cell>
          <cell r="N33">
            <v>12900</v>
          </cell>
        </row>
        <row r="34">
          <cell r="A34" t="str">
            <v>305141 - Equipment Rental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A35" t="str">
            <v>305147 - General Expenses</v>
          </cell>
          <cell r="B35">
            <v>300</v>
          </cell>
          <cell r="C35">
            <v>200</v>
          </cell>
          <cell r="D35">
            <v>200</v>
          </cell>
          <cell r="E35">
            <v>200</v>
          </cell>
          <cell r="F35">
            <v>100</v>
          </cell>
          <cell r="G35">
            <v>100</v>
          </cell>
          <cell r="H35">
            <v>100</v>
          </cell>
          <cell r="I35">
            <v>100</v>
          </cell>
          <cell r="J35">
            <v>100</v>
          </cell>
          <cell r="K35">
            <v>100</v>
          </cell>
          <cell r="L35">
            <v>100</v>
          </cell>
          <cell r="M35">
            <v>100</v>
          </cell>
          <cell r="N35">
            <v>1700</v>
          </cell>
        </row>
        <row r="36">
          <cell r="A36" t="str">
            <v>305155 - Interior decoration</v>
          </cell>
          <cell r="B36">
            <v>0</v>
          </cell>
          <cell r="C36">
            <v>500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500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1000</v>
          </cell>
        </row>
        <row r="37">
          <cell r="A37" t="str">
            <v>305156 - Laundry</v>
          </cell>
          <cell r="B37">
            <v>440</v>
          </cell>
          <cell r="C37">
            <v>600</v>
          </cell>
          <cell r="D37">
            <v>400</v>
          </cell>
          <cell r="E37">
            <v>380</v>
          </cell>
          <cell r="F37">
            <v>400</v>
          </cell>
          <cell r="G37">
            <v>450</v>
          </cell>
          <cell r="H37">
            <v>300</v>
          </cell>
          <cell r="I37">
            <v>400</v>
          </cell>
          <cell r="J37">
            <v>300</v>
          </cell>
          <cell r="K37">
            <v>350</v>
          </cell>
          <cell r="L37">
            <v>330</v>
          </cell>
          <cell r="M37">
            <v>300</v>
          </cell>
          <cell r="N37">
            <v>4650</v>
          </cell>
        </row>
        <row r="38">
          <cell r="A38" t="str">
            <v>305162 - Licence &amp; Permits</v>
          </cell>
          <cell r="B38">
            <v>1245</v>
          </cell>
          <cell r="C38">
            <v>2000</v>
          </cell>
          <cell r="D38">
            <v>0</v>
          </cell>
          <cell r="E38">
            <v>0</v>
          </cell>
          <cell r="F38">
            <v>250</v>
          </cell>
          <cell r="G38">
            <v>0</v>
          </cell>
          <cell r="H38">
            <v>700</v>
          </cell>
          <cell r="I38">
            <v>150</v>
          </cell>
          <cell r="J38">
            <v>0</v>
          </cell>
          <cell r="K38">
            <v>700</v>
          </cell>
          <cell r="L38">
            <v>500</v>
          </cell>
          <cell r="M38">
            <v>650</v>
          </cell>
          <cell r="N38">
            <v>6195</v>
          </cell>
        </row>
        <row r="39">
          <cell r="A39" t="str">
            <v>305168 - Occupational  Health &amp; Safety</v>
          </cell>
          <cell r="B39">
            <v>30</v>
          </cell>
          <cell r="C39">
            <v>30</v>
          </cell>
          <cell r="D39">
            <v>30</v>
          </cell>
          <cell r="E39">
            <v>30</v>
          </cell>
          <cell r="F39">
            <v>30</v>
          </cell>
          <cell r="G39">
            <v>30</v>
          </cell>
          <cell r="H39">
            <v>30</v>
          </cell>
          <cell r="I39">
            <v>30</v>
          </cell>
          <cell r="J39">
            <v>30</v>
          </cell>
          <cell r="K39">
            <v>30</v>
          </cell>
          <cell r="L39">
            <v>30</v>
          </cell>
          <cell r="M39">
            <v>30</v>
          </cell>
          <cell r="N39">
            <v>360</v>
          </cell>
        </row>
        <row r="40">
          <cell r="A40" t="str">
            <v>305180 - Printing &amp; Stationery</v>
          </cell>
          <cell r="B40">
            <v>200</v>
          </cell>
          <cell r="C40">
            <v>200</v>
          </cell>
          <cell r="D40">
            <v>200</v>
          </cell>
          <cell r="E40">
            <v>200</v>
          </cell>
          <cell r="F40">
            <v>200</v>
          </cell>
          <cell r="G40">
            <v>200</v>
          </cell>
          <cell r="H40">
            <v>200</v>
          </cell>
          <cell r="I40">
            <v>200</v>
          </cell>
          <cell r="J40">
            <v>200</v>
          </cell>
          <cell r="K40">
            <v>200</v>
          </cell>
          <cell r="L40">
            <v>200</v>
          </cell>
          <cell r="M40">
            <v>200</v>
          </cell>
          <cell r="N40">
            <v>2400</v>
          </cell>
        </row>
        <row r="41">
          <cell r="A41" t="str">
            <v>305183 - Rates and Taxes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A42" t="str">
            <v>305185 - Minor Assets</v>
          </cell>
          <cell r="B42">
            <v>0</v>
          </cell>
          <cell r="C42">
            <v>0</v>
          </cell>
          <cell r="D42">
            <v>500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500</v>
          </cell>
        </row>
        <row r="43">
          <cell r="A43" t="str">
            <v>305187 - Software Digital</v>
          </cell>
          <cell r="B43">
            <v>325</v>
          </cell>
          <cell r="C43">
            <v>325</v>
          </cell>
          <cell r="D43">
            <v>325</v>
          </cell>
          <cell r="E43">
            <v>325</v>
          </cell>
          <cell r="F43">
            <v>325</v>
          </cell>
          <cell r="G43">
            <v>325</v>
          </cell>
          <cell r="H43">
            <v>325</v>
          </cell>
          <cell r="I43">
            <v>325</v>
          </cell>
          <cell r="J43">
            <v>325</v>
          </cell>
          <cell r="K43">
            <v>325</v>
          </cell>
          <cell r="L43">
            <v>325</v>
          </cell>
          <cell r="M43">
            <v>325</v>
          </cell>
          <cell r="N43">
            <v>3900</v>
          </cell>
        </row>
        <row r="44">
          <cell r="A44" t="str">
            <v>305189 - Repairs &amp; Maintenance</v>
          </cell>
          <cell r="B44">
            <v>500</v>
          </cell>
          <cell r="C44">
            <v>500</v>
          </cell>
          <cell r="D44">
            <v>500</v>
          </cell>
          <cell r="E44">
            <v>500</v>
          </cell>
          <cell r="F44">
            <v>500</v>
          </cell>
          <cell r="G44">
            <v>500</v>
          </cell>
          <cell r="H44">
            <v>500</v>
          </cell>
          <cell r="I44">
            <v>500</v>
          </cell>
          <cell r="J44">
            <v>500</v>
          </cell>
          <cell r="K44">
            <v>500</v>
          </cell>
          <cell r="L44">
            <v>500</v>
          </cell>
          <cell r="M44">
            <v>500</v>
          </cell>
          <cell r="N44">
            <v>6000</v>
          </cell>
        </row>
        <row r="45">
          <cell r="A45" t="str">
            <v>305197 - Replacement of Glass/Cutlery</v>
          </cell>
          <cell r="B45">
            <v>0</v>
          </cell>
          <cell r="C45">
            <v>350</v>
          </cell>
          <cell r="D45">
            <v>0</v>
          </cell>
          <cell r="E45">
            <v>350</v>
          </cell>
          <cell r="F45">
            <v>0</v>
          </cell>
          <cell r="G45">
            <v>350</v>
          </cell>
          <cell r="H45">
            <v>0</v>
          </cell>
          <cell r="I45">
            <v>350</v>
          </cell>
          <cell r="J45">
            <v>0</v>
          </cell>
          <cell r="K45">
            <v>350</v>
          </cell>
          <cell r="L45">
            <v>0</v>
          </cell>
          <cell r="M45">
            <v>0</v>
          </cell>
          <cell r="N45">
            <v>1750</v>
          </cell>
        </row>
        <row r="46">
          <cell r="A46" t="str">
            <v>305201 - Security Expenses</v>
          </cell>
          <cell r="B46">
            <v>0</v>
          </cell>
          <cell r="C46">
            <v>4300</v>
          </cell>
          <cell r="D46">
            <v>5500</v>
          </cell>
          <cell r="E46">
            <v>3500</v>
          </cell>
          <cell r="F46">
            <v>2500</v>
          </cell>
          <cell r="G46">
            <v>4500</v>
          </cell>
          <cell r="H46">
            <v>1500</v>
          </cell>
          <cell r="I46">
            <v>3500</v>
          </cell>
          <cell r="J46">
            <v>4500</v>
          </cell>
          <cell r="K46">
            <v>4500</v>
          </cell>
          <cell r="L46">
            <v>1500</v>
          </cell>
          <cell r="M46">
            <v>500</v>
          </cell>
          <cell r="N46">
            <v>36300</v>
          </cell>
        </row>
        <row r="47">
          <cell r="A47" t="str">
            <v>305204 - Security Monitoring</v>
          </cell>
          <cell r="B47">
            <v>145</v>
          </cell>
          <cell r="C47">
            <v>0</v>
          </cell>
          <cell r="D47">
            <v>0</v>
          </cell>
          <cell r="E47">
            <v>145</v>
          </cell>
          <cell r="F47">
            <v>0</v>
          </cell>
          <cell r="G47">
            <v>0</v>
          </cell>
          <cell r="H47">
            <v>145</v>
          </cell>
          <cell r="I47">
            <v>0</v>
          </cell>
          <cell r="J47">
            <v>0</v>
          </cell>
          <cell r="K47">
            <v>145</v>
          </cell>
          <cell r="L47">
            <v>0</v>
          </cell>
          <cell r="M47">
            <v>0</v>
          </cell>
          <cell r="N47">
            <v>580</v>
          </cell>
        </row>
        <row r="48">
          <cell r="A48" t="str">
            <v>305219 - Subscriptions</v>
          </cell>
          <cell r="B48">
            <v>1042</v>
          </cell>
          <cell r="C48">
            <v>3000</v>
          </cell>
          <cell r="D48">
            <v>1042</v>
          </cell>
          <cell r="E48">
            <v>1250</v>
          </cell>
          <cell r="F48">
            <v>1042</v>
          </cell>
          <cell r="G48">
            <v>1042</v>
          </cell>
          <cell r="H48">
            <v>1042</v>
          </cell>
          <cell r="I48">
            <v>1095</v>
          </cell>
          <cell r="J48">
            <v>1042</v>
          </cell>
          <cell r="K48">
            <v>1317</v>
          </cell>
          <cell r="L48">
            <v>1042</v>
          </cell>
          <cell r="M48">
            <v>1042</v>
          </cell>
          <cell r="N48">
            <v>14998</v>
          </cell>
        </row>
        <row r="49">
          <cell r="A49" t="str">
            <v>305228 - Waste Control</v>
          </cell>
          <cell r="B49">
            <v>575</v>
          </cell>
          <cell r="C49">
            <v>700</v>
          </cell>
          <cell r="D49">
            <v>775</v>
          </cell>
          <cell r="E49">
            <v>775</v>
          </cell>
          <cell r="F49">
            <v>805</v>
          </cell>
          <cell r="G49">
            <v>735</v>
          </cell>
          <cell r="H49">
            <v>890</v>
          </cell>
          <cell r="I49">
            <v>850</v>
          </cell>
          <cell r="J49">
            <v>810</v>
          </cell>
          <cell r="K49">
            <v>790</v>
          </cell>
          <cell r="L49">
            <v>500</v>
          </cell>
          <cell r="M49">
            <v>250</v>
          </cell>
          <cell r="N49">
            <v>8455</v>
          </cell>
        </row>
        <row r="50">
          <cell r="A50" t="str">
            <v>306001 - Depreciation - Plant &amp; Equipment</v>
          </cell>
          <cell r="B50">
            <v>808.85</v>
          </cell>
          <cell r="C50">
            <v>808.85</v>
          </cell>
          <cell r="D50">
            <v>808.85</v>
          </cell>
          <cell r="E50">
            <v>808.85</v>
          </cell>
          <cell r="F50">
            <v>808.85</v>
          </cell>
          <cell r="G50">
            <v>808.85</v>
          </cell>
          <cell r="H50">
            <v>808.85</v>
          </cell>
          <cell r="I50">
            <v>808.85</v>
          </cell>
          <cell r="J50">
            <v>808.85</v>
          </cell>
          <cell r="K50">
            <v>808.85</v>
          </cell>
          <cell r="L50">
            <v>808.85</v>
          </cell>
          <cell r="M50">
            <v>808.85</v>
          </cell>
          <cell r="N50">
            <v>9706.2000000000025</v>
          </cell>
        </row>
        <row r="51">
          <cell r="A51" t="str">
            <v>306003 - Depreciation - Furniture &amp; Fittings</v>
          </cell>
          <cell r="B51">
            <v>2103.88</v>
          </cell>
          <cell r="C51">
            <v>2103.88</v>
          </cell>
          <cell r="D51">
            <v>2103.88</v>
          </cell>
          <cell r="E51">
            <v>2103.88</v>
          </cell>
          <cell r="F51">
            <v>2103.88</v>
          </cell>
          <cell r="G51">
            <v>2103.88</v>
          </cell>
          <cell r="H51">
            <v>2103.88</v>
          </cell>
          <cell r="I51">
            <v>2103.88</v>
          </cell>
          <cell r="J51">
            <v>2103.88</v>
          </cell>
          <cell r="K51">
            <v>2103.88</v>
          </cell>
          <cell r="L51">
            <v>2103.88</v>
          </cell>
          <cell r="M51">
            <v>2103.88</v>
          </cell>
          <cell r="N51">
            <v>25246.560000000009</v>
          </cell>
        </row>
        <row r="52">
          <cell r="A52" t="str">
            <v>306004 - Depreciation - Computer Equipment</v>
          </cell>
          <cell r="B52">
            <v>18.89</v>
          </cell>
          <cell r="C52">
            <v>18.89</v>
          </cell>
          <cell r="D52">
            <v>18.89</v>
          </cell>
          <cell r="E52">
            <v>18.89</v>
          </cell>
          <cell r="F52">
            <v>18.89</v>
          </cell>
          <cell r="G52">
            <v>18.89</v>
          </cell>
          <cell r="H52">
            <v>18.89</v>
          </cell>
          <cell r="I52">
            <v>18.89</v>
          </cell>
          <cell r="J52">
            <v>18.89</v>
          </cell>
          <cell r="K52">
            <v>18.89</v>
          </cell>
          <cell r="L52">
            <v>18.89</v>
          </cell>
          <cell r="M52">
            <v>18.89</v>
          </cell>
          <cell r="N52">
            <v>226.67999999999995</v>
          </cell>
        </row>
        <row r="53">
          <cell r="A53" t="str">
            <v>306005 - Depreciation - Property</v>
          </cell>
          <cell r="B53">
            <v>1100.73</v>
          </cell>
          <cell r="C53">
            <v>1100.73</v>
          </cell>
          <cell r="D53">
            <v>1100.73</v>
          </cell>
          <cell r="E53">
            <v>1100.73</v>
          </cell>
          <cell r="F53">
            <v>1100.73</v>
          </cell>
          <cell r="G53">
            <v>1100.73</v>
          </cell>
          <cell r="H53">
            <v>1100.73</v>
          </cell>
          <cell r="I53">
            <v>1100.73</v>
          </cell>
          <cell r="J53">
            <v>1100.73</v>
          </cell>
          <cell r="K53">
            <v>1100.73</v>
          </cell>
          <cell r="L53">
            <v>1100.73</v>
          </cell>
          <cell r="M53">
            <v>1100.73</v>
          </cell>
          <cell r="N53">
            <v>13208.759999999997</v>
          </cell>
        </row>
        <row r="54">
          <cell r="A54" t="str">
            <v>Total - ADMINISTRATIVE EXPENSES - ADMINISTRATIVE EXPENSES</v>
          </cell>
          <cell r="B54">
            <v>12374.349999999999</v>
          </cell>
          <cell r="C54">
            <v>22607.35</v>
          </cell>
          <cell r="D54">
            <v>23024.35</v>
          </cell>
          <cell r="E54">
            <v>18757.349999999999</v>
          </cell>
          <cell r="F54">
            <v>18204.349999999999</v>
          </cell>
          <cell r="G54">
            <v>18604.349999999999</v>
          </cell>
          <cell r="H54">
            <v>15134.349999999999</v>
          </cell>
          <cell r="I54">
            <v>20622.349999999999</v>
          </cell>
          <cell r="J54">
            <v>19479.349999999999</v>
          </cell>
          <cell r="K54">
            <v>25859.35</v>
          </cell>
          <cell r="L54">
            <v>13579.349999999999</v>
          </cell>
          <cell r="M54">
            <v>12599.349999999999</v>
          </cell>
          <cell r="N54">
            <v>220846.2</v>
          </cell>
        </row>
        <row r="55">
          <cell r="A55" t="str">
            <v>EMPLOYEE BENEFITS EXPENSE - EMPLOYEE BENEFITS EXPENSE</v>
          </cell>
        </row>
        <row r="56">
          <cell r="A56" t="str">
            <v>304001 - Salaries &amp; Wages - Permanent Staff</v>
          </cell>
          <cell r="B56">
            <v>6769.7176322957193</v>
          </cell>
          <cell r="C56">
            <v>7126.0185603112841</v>
          </cell>
          <cell r="D56">
            <v>7482.3194883268479</v>
          </cell>
          <cell r="E56">
            <v>7838.6204163424127</v>
          </cell>
          <cell r="F56">
            <v>8194.9213443579774</v>
          </cell>
          <cell r="G56">
            <v>7126.0185603112841</v>
          </cell>
          <cell r="H56">
            <v>8194.9213443579774</v>
          </cell>
          <cell r="I56">
            <v>7838.6204163424127</v>
          </cell>
          <cell r="J56">
            <v>7482.3194883268479</v>
          </cell>
          <cell r="K56">
            <v>8194.9213443579774</v>
          </cell>
          <cell r="L56">
            <v>7482.3194883268479</v>
          </cell>
          <cell r="M56">
            <v>9212.1604938424134</v>
          </cell>
          <cell r="N56">
            <v>92942.8785775</v>
          </cell>
        </row>
        <row r="57">
          <cell r="A57" t="str">
            <v>304004 - Salaries &amp; Wages - Other</v>
          </cell>
          <cell r="B57">
            <v>600</v>
          </cell>
          <cell r="C57">
            <v>25000</v>
          </cell>
          <cell r="D57">
            <v>43000</v>
          </cell>
          <cell r="E57">
            <v>22000</v>
          </cell>
          <cell r="F57">
            <v>27000</v>
          </cell>
          <cell r="G57">
            <v>12000</v>
          </cell>
          <cell r="H57">
            <v>17000</v>
          </cell>
          <cell r="I57">
            <v>33000</v>
          </cell>
          <cell r="J57">
            <v>21000</v>
          </cell>
          <cell r="K57">
            <v>27000</v>
          </cell>
          <cell r="L57">
            <v>13000</v>
          </cell>
          <cell r="M57">
            <v>2000</v>
          </cell>
          <cell r="N57">
            <v>242600</v>
          </cell>
        </row>
        <row r="58">
          <cell r="A58" t="str">
            <v>304010 - Superannuation</v>
          </cell>
          <cell r="B58">
            <v>1485.853632986958</v>
          </cell>
          <cell r="C58">
            <v>4436.4840873546927</v>
          </cell>
          <cell r="D58">
            <v>6632.7145417224274</v>
          </cell>
          <cell r="E58">
            <v>4231.819996090162</v>
          </cell>
          <cell r="F58">
            <v>4895.6754504578967</v>
          </cell>
          <cell r="G58">
            <v>2904.1090873546927</v>
          </cell>
          <cell r="H58">
            <v>3804.0504504578967</v>
          </cell>
          <cell r="I58">
            <v>5697.569996090162</v>
          </cell>
          <cell r="J58">
            <v>4147.0895417224274</v>
          </cell>
          <cell r="K58">
            <v>5034.0504504578967</v>
          </cell>
          <cell r="L58">
            <v>3163.0895417224274</v>
          </cell>
          <cell r="M58">
            <v>2124.9395096526619</v>
          </cell>
          <cell r="N58">
            <v>48557.446286070299</v>
          </cell>
        </row>
        <row r="59">
          <cell r="A59" t="str">
            <v>304013 - Workers Compensation Insurance</v>
          </cell>
          <cell r="B59">
            <v>77.575312580035572</v>
          </cell>
          <cell r="C59">
            <v>318.94572376845849</v>
          </cell>
          <cell r="D59">
            <v>497.99613495688141</v>
          </cell>
          <cell r="E59">
            <v>297.28404614530433</v>
          </cell>
          <cell r="F59">
            <v>349.74695733372721</v>
          </cell>
          <cell r="G59">
            <v>192.35822376845852</v>
          </cell>
          <cell r="H59">
            <v>252.37195733372727</v>
          </cell>
          <cell r="I59">
            <v>404.39654614530434</v>
          </cell>
          <cell r="J59">
            <v>283.77113495688138</v>
          </cell>
          <cell r="K59">
            <v>349.74695733372721</v>
          </cell>
          <cell r="L59">
            <v>205.87113495688141</v>
          </cell>
          <cell r="M59">
            <v>102.53404614530434</v>
          </cell>
          <cell r="N59">
            <v>3332.5981754246914</v>
          </cell>
        </row>
        <row r="60">
          <cell r="A60" t="str">
            <v>304016 - Annual Leave Provision</v>
          </cell>
          <cell r="B60">
            <v>710.26000374273735</v>
          </cell>
          <cell r="C60">
            <v>644.06505657130253</v>
          </cell>
          <cell r="D60">
            <v>676.26830939986769</v>
          </cell>
          <cell r="E60">
            <v>708.47156222843284</v>
          </cell>
          <cell r="F60">
            <v>740.674815056998</v>
          </cell>
          <cell r="G60">
            <v>644.06505657130253</v>
          </cell>
          <cell r="H60">
            <v>740.674815056998</v>
          </cell>
          <cell r="I60">
            <v>708.47156222843284</v>
          </cell>
          <cell r="J60">
            <v>676.26830939986769</v>
          </cell>
          <cell r="K60">
            <v>740.674815056998</v>
          </cell>
          <cell r="L60">
            <v>676.26830939986769</v>
          </cell>
          <cell r="M60">
            <v>708.47156222843284</v>
          </cell>
          <cell r="N60">
            <v>8374.6341769412375</v>
          </cell>
        </row>
        <row r="61">
          <cell r="A61" t="str">
            <v>304019 - Long Service Leave Provision</v>
          </cell>
          <cell r="B61">
            <v>348.77344080739294</v>
          </cell>
          <cell r="C61">
            <v>803.15046400778215</v>
          </cell>
          <cell r="D61">
            <v>1262.0579872081712</v>
          </cell>
          <cell r="E61">
            <v>745.96551040856025</v>
          </cell>
          <cell r="F61">
            <v>879.87303360894941</v>
          </cell>
          <cell r="G61">
            <v>478.15046400778209</v>
          </cell>
          <cell r="H61">
            <v>629.87303360894941</v>
          </cell>
          <cell r="I61">
            <v>1020.9655104085602</v>
          </cell>
          <cell r="J61">
            <v>712.0579872081712</v>
          </cell>
          <cell r="K61">
            <v>879.87303360894941</v>
          </cell>
          <cell r="L61">
            <v>512.0579872081712</v>
          </cell>
          <cell r="M61">
            <v>245.96551040856031</v>
          </cell>
          <cell r="N61">
            <v>8518.7639624999993</v>
          </cell>
        </row>
        <row r="62">
          <cell r="A62" t="str">
            <v>Total - EMPLOYEE BENEFITS EXPENSE - EMPLOYEE BENEFITS EXPENSE</v>
          </cell>
          <cell r="B62">
            <v>9992.1800224128419</v>
          </cell>
          <cell r="C62">
            <v>38328.663892013523</v>
          </cell>
          <cell r="D62">
            <v>59551.356461614196</v>
          </cell>
          <cell r="E62">
            <v>35822.161531214872</v>
          </cell>
          <cell r="F62">
            <v>42060.891600815557</v>
          </cell>
          <cell r="G62">
            <v>23344.701392013521</v>
          </cell>
          <cell r="H62">
            <v>30621.89160081555</v>
          </cell>
          <cell r="I62">
            <v>48670.024031214874</v>
          </cell>
          <cell r="J62">
            <v>34301.506461614197</v>
          </cell>
          <cell r="K62">
            <v>42199.266600815557</v>
          </cell>
          <cell r="L62">
            <v>25039.606461614196</v>
          </cell>
          <cell r="M62">
            <v>14394.071122277373</v>
          </cell>
          <cell r="N62">
            <v>404326.32117843616</v>
          </cell>
          <cell r="P62">
            <v>0.42485662986637218</v>
          </cell>
        </row>
        <row r="63">
          <cell r="A63" t="str">
            <v>Total - Expenses</v>
          </cell>
          <cell r="B63">
            <v>22366.53002241284</v>
          </cell>
          <cell r="C63">
            <v>60936.013892013521</v>
          </cell>
          <cell r="D63">
            <v>82575.706461614202</v>
          </cell>
          <cell r="E63">
            <v>54579.51153121487</v>
          </cell>
          <cell r="F63">
            <v>60265.241600815556</v>
          </cell>
          <cell r="G63">
            <v>41949.05139201352</v>
          </cell>
          <cell r="H63">
            <v>45756.241600815549</v>
          </cell>
          <cell r="I63">
            <v>69292.374031214873</v>
          </cell>
          <cell r="J63">
            <v>53780.856461614196</v>
          </cell>
          <cell r="K63">
            <v>68058.616600815556</v>
          </cell>
          <cell r="L63">
            <v>38618.956461614194</v>
          </cell>
          <cell r="M63">
            <v>26993.421122277374</v>
          </cell>
          <cell r="N63">
            <v>625172.52117843623</v>
          </cell>
        </row>
        <row r="64">
          <cell r="A64" t="str">
            <v>Operating Profit</v>
          </cell>
          <cell r="B64">
            <v>-21005.631783712841</v>
          </cell>
          <cell r="C64">
            <v>-376.04226986351568</v>
          </cell>
          <cell r="D64">
            <v>28461.218014135797</v>
          </cell>
          <cell r="E64">
            <v>2640.0735050351359</v>
          </cell>
          <cell r="F64">
            <v>10439.607800734448</v>
          </cell>
          <cell r="G64">
            <v>-11638.136075513517</v>
          </cell>
          <cell r="H64">
            <v>-2021.9209298655478</v>
          </cell>
          <cell r="I64">
            <v>14835.880724785136</v>
          </cell>
          <cell r="J64">
            <v>98.341988735810446</v>
          </cell>
          <cell r="K64">
            <v>604.88544268444821</v>
          </cell>
          <cell r="L64">
            <v>-6328.552797914188</v>
          </cell>
          <cell r="M64">
            <v>-22292.136297677374</v>
          </cell>
          <cell r="N64">
            <v>-6582.4126784363762</v>
          </cell>
        </row>
        <row r="65">
          <cell r="A65" t="str">
            <v>Other Income</v>
          </cell>
        </row>
        <row r="66">
          <cell r="A66" t="str">
            <v>OTHER INCOME - OTHER INCOME</v>
          </cell>
        </row>
        <row r="67">
          <cell r="A67" t="str">
            <v>103001 - Advertising Income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A68" t="str">
            <v>103069 - Sundry Income</v>
          </cell>
          <cell r="B68">
            <v>0</v>
          </cell>
          <cell r="C68">
            <v>350</v>
          </cell>
          <cell r="D68">
            <v>1500</v>
          </cell>
          <cell r="E68">
            <v>1500</v>
          </cell>
          <cell r="F68">
            <v>1000</v>
          </cell>
          <cell r="G68">
            <v>0</v>
          </cell>
          <cell r="H68">
            <v>0</v>
          </cell>
          <cell r="I68">
            <v>1000</v>
          </cell>
          <cell r="J68">
            <v>500</v>
          </cell>
          <cell r="K68">
            <v>0</v>
          </cell>
          <cell r="L68">
            <v>0</v>
          </cell>
          <cell r="M68">
            <v>0</v>
          </cell>
          <cell r="N68">
            <v>5850</v>
          </cell>
        </row>
        <row r="69">
          <cell r="A69" t="str">
            <v>103075 - Sponsorship</v>
          </cell>
          <cell r="B69">
            <v>0</v>
          </cell>
          <cell r="C69">
            <v>772.19999999999993</v>
          </cell>
          <cell r="D69">
            <v>2316.6</v>
          </cell>
          <cell r="E69">
            <v>1663.2</v>
          </cell>
          <cell r="F69">
            <v>1960.2</v>
          </cell>
          <cell r="G69">
            <v>891</v>
          </cell>
          <cell r="H69">
            <v>772.19999999999993</v>
          </cell>
          <cell r="I69">
            <v>1544.3999999999999</v>
          </cell>
          <cell r="J69">
            <v>2376</v>
          </cell>
          <cell r="K69">
            <v>1603.8</v>
          </cell>
          <cell r="L69">
            <v>1188</v>
          </cell>
          <cell r="M69">
            <v>0</v>
          </cell>
          <cell r="N69">
            <v>15087.599999999999</v>
          </cell>
        </row>
        <row r="70">
          <cell r="A70" t="str">
            <v>103085 - Bank Charges Income</v>
          </cell>
          <cell r="B70">
            <v>25.308335800000002</v>
          </cell>
          <cell r="C70">
            <v>1126.2209430999999</v>
          </cell>
          <cell r="D70">
            <v>2064.9301254999996</v>
          </cell>
          <cell r="E70">
            <v>1064.1004825</v>
          </cell>
          <cell r="F70">
            <v>1314.8830826999999</v>
          </cell>
          <cell r="G70">
            <v>563.68566099999998</v>
          </cell>
          <cell r="H70">
            <v>813.31788229999995</v>
          </cell>
          <cell r="I70">
            <v>1564.515304</v>
          </cell>
          <cell r="J70">
            <v>1001.9800219</v>
          </cell>
          <cell r="K70">
            <v>1276.9205789999999</v>
          </cell>
          <cell r="L70">
            <v>600.49778579999997</v>
          </cell>
          <cell r="M70">
            <v>87.428796399999996</v>
          </cell>
          <cell r="N70">
            <v>11503.789000000001</v>
          </cell>
        </row>
        <row r="71">
          <cell r="A71" t="str">
            <v>Total - OTHER INCOME - OTHER INCOME</v>
          </cell>
          <cell r="B71">
            <v>25.308335800000002</v>
          </cell>
          <cell r="C71">
            <v>2248.4209430999999</v>
          </cell>
          <cell r="D71">
            <v>5881.5301254999995</v>
          </cell>
          <cell r="E71">
            <v>4227.3004824999998</v>
          </cell>
          <cell r="F71">
            <v>4275.0830827</v>
          </cell>
          <cell r="G71">
            <v>1454.685661</v>
          </cell>
          <cell r="H71">
            <v>1585.5178822999999</v>
          </cell>
          <cell r="I71">
            <v>4108.9153040000001</v>
          </cell>
          <cell r="J71">
            <v>3877.9800218999999</v>
          </cell>
          <cell r="K71">
            <v>2880.7205789999998</v>
          </cell>
          <cell r="L71">
            <v>1788.4977858</v>
          </cell>
          <cell r="M71">
            <v>87.428796399999996</v>
          </cell>
          <cell r="N71">
            <v>32441.388999999999</v>
          </cell>
        </row>
        <row r="72">
          <cell r="A72" t="str">
            <v>REBATE INCOME - REBATE INCOME</v>
          </cell>
        </row>
        <row r="73">
          <cell r="A73" t="str">
            <v>103064 - Rebates - Catering</v>
          </cell>
          <cell r="B73">
            <v>0</v>
          </cell>
          <cell r="C73">
            <v>1000</v>
          </cell>
          <cell r="D73">
            <v>3600</v>
          </cell>
          <cell r="E73">
            <v>1800</v>
          </cell>
          <cell r="F73">
            <v>2700</v>
          </cell>
          <cell r="G73">
            <v>1200</v>
          </cell>
          <cell r="H73">
            <v>1500</v>
          </cell>
          <cell r="I73">
            <v>2200</v>
          </cell>
          <cell r="J73">
            <v>1700</v>
          </cell>
          <cell r="K73">
            <v>2450</v>
          </cell>
          <cell r="L73">
            <v>1300</v>
          </cell>
          <cell r="M73">
            <v>350</v>
          </cell>
          <cell r="N73">
            <v>19800</v>
          </cell>
        </row>
        <row r="74">
          <cell r="A74" t="str">
            <v>Total - REBATE INCOME - REBATE INCOME</v>
          </cell>
          <cell r="B74">
            <v>0</v>
          </cell>
          <cell r="C74">
            <v>1000</v>
          </cell>
          <cell r="D74">
            <v>3600</v>
          </cell>
          <cell r="E74">
            <v>1800</v>
          </cell>
          <cell r="F74">
            <v>2700</v>
          </cell>
          <cell r="G74">
            <v>1200</v>
          </cell>
          <cell r="H74">
            <v>1500</v>
          </cell>
          <cell r="I74">
            <v>2200</v>
          </cell>
          <cell r="J74">
            <v>1700</v>
          </cell>
          <cell r="K74">
            <v>2450</v>
          </cell>
          <cell r="L74">
            <v>1300</v>
          </cell>
          <cell r="M74">
            <v>350</v>
          </cell>
          <cell r="N74">
            <v>19800</v>
          </cell>
        </row>
        <row r="75">
          <cell r="A75" t="str">
            <v>RENTAL - PROPERTY &amp; EQUIPMENT INCOME - RENTAL - PROPERTY &amp; EQUIPMENT INCOME</v>
          </cell>
        </row>
        <row r="76">
          <cell r="A76" t="str">
            <v>103070 - Venue Hire</v>
          </cell>
          <cell r="B76">
            <v>0</v>
          </cell>
          <cell r="C76">
            <v>400</v>
          </cell>
          <cell r="D76">
            <v>3500</v>
          </cell>
          <cell r="E76">
            <v>2000</v>
          </cell>
          <cell r="F76">
            <v>2200</v>
          </cell>
          <cell r="G76">
            <v>400</v>
          </cell>
          <cell r="H76">
            <v>600</v>
          </cell>
          <cell r="I76">
            <v>1700</v>
          </cell>
          <cell r="J76">
            <v>1200</v>
          </cell>
          <cell r="K76">
            <v>1600</v>
          </cell>
          <cell r="L76">
            <v>1900</v>
          </cell>
          <cell r="M76">
            <v>500</v>
          </cell>
          <cell r="N76">
            <v>16000</v>
          </cell>
        </row>
        <row r="77">
          <cell r="A77" t="str">
            <v>103082 - Pool Table Income</v>
          </cell>
          <cell r="B77">
            <v>0</v>
          </cell>
          <cell r="C77">
            <v>100</v>
          </cell>
          <cell r="D77">
            <v>300</v>
          </cell>
          <cell r="E77">
            <v>250</v>
          </cell>
          <cell r="F77">
            <v>400</v>
          </cell>
          <cell r="G77">
            <v>80</v>
          </cell>
          <cell r="H77">
            <v>100</v>
          </cell>
          <cell r="I77">
            <v>250</v>
          </cell>
          <cell r="J77">
            <v>300</v>
          </cell>
          <cell r="K77">
            <v>300</v>
          </cell>
          <cell r="L77">
            <v>100</v>
          </cell>
          <cell r="M77">
            <v>0</v>
          </cell>
          <cell r="N77">
            <v>2180</v>
          </cell>
        </row>
        <row r="78">
          <cell r="A78" t="str">
            <v>Total - RENTAL - PROPERTY &amp; EQUIPMENT INCOME - RENTAL - PROPERTY &amp; EQUIPMENT INCOME</v>
          </cell>
          <cell r="B78">
            <v>0</v>
          </cell>
          <cell r="C78">
            <v>500</v>
          </cell>
          <cell r="D78">
            <v>3800</v>
          </cell>
          <cell r="E78">
            <v>2250</v>
          </cell>
          <cell r="F78">
            <v>2600</v>
          </cell>
          <cell r="G78">
            <v>480</v>
          </cell>
          <cell r="H78">
            <v>700</v>
          </cell>
          <cell r="I78">
            <v>1950</v>
          </cell>
          <cell r="J78">
            <v>1500</v>
          </cell>
          <cell r="K78">
            <v>1900</v>
          </cell>
          <cell r="L78">
            <v>2000</v>
          </cell>
          <cell r="M78">
            <v>500</v>
          </cell>
          <cell r="N78">
            <v>18180</v>
          </cell>
        </row>
        <row r="79">
          <cell r="A79" t="str">
            <v>Total - Other Income</v>
          </cell>
          <cell r="B79">
            <v>25.308335800000002</v>
          </cell>
          <cell r="C79">
            <v>3748.4209430999999</v>
          </cell>
          <cell r="D79">
            <v>13281.530125499999</v>
          </cell>
          <cell r="E79">
            <v>8277.3004824999989</v>
          </cell>
          <cell r="F79">
            <v>9575.0830826999991</v>
          </cell>
          <cell r="G79">
            <v>3134.685661</v>
          </cell>
          <cell r="H79">
            <v>3785.5178822999997</v>
          </cell>
          <cell r="I79">
            <v>8258.9153040000001</v>
          </cell>
          <cell r="J79">
            <v>7077.9800218999999</v>
          </cell>
          <cell r="K79">
            <v>7230.7205789999998</v>
          </cell>
          <cell r="L79">
            <v>5088.4977858000002</v>
          </cell>
          <cell r="M79">
            <v>937.42879640000001</v>
          </cell>
          <cell r="N79">
            <v>70421.388999999996</v>
          </cell>
        </row>
        <row r="80">
          <cell r="A80" t="str">
            <v>Net Profit/(Loss)</v>
          </cell>
          <cell r="B80">
            <v>-20980.32344791284</v>
          </cell>
          <cell r="C80">
            <v>3372.3786732364842</v>
          </cell>
          <cell r="D80">
            <v>41742.748139635798</v>
          </cell>
          <cell r="E80">
            <v>10917.373987535135</v>
          </cell>
          <cell r="F80">
            <v>20014.690883434447</v>
          </cell>
          <cell r="G80">
            <v>-8503.4504145135179</v>
          </cell>
          <cell r="H80">
            <v>1763.5969524344519</v>
          </cell>
          <cell r="I80">
            <v>23094.796028785138</v>
          </cell>
          <cell r="J80">
            <v>7176.3220106358103</v>
          </cell>
          <cell r="K80">
            <v>7835.606021684448</v>
          </cell>
          <cell r="L80">
            <v>-1240.0550121141878</v>
          </cell>
          <cell r="M80">
            <v>-21354.707501277375</v>
          </cell>
          <cell r="N80">
            <v>63838.976321563619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8074F-FF0A-0D47-90B8-D9278C3572EB}">
  <sheetPr codeName="Sheet1"/>
  <dimension ref="A1:BW120"/>
  <sheetViews>
    <sheetView showGridLines="0" tabSelected="1" view="pageBreakPreview" zoomScale="93" zoomScaleNormal="100" zoomScaleSheetLayoutView="93" workbookViewId="0">
      <pane ySplit="6" topLeftCell="A51" activePane="bottomLeft" state="frozen"/>
      <selection activeCell="Q23" sqref="Q23"/>
      <selection pane="bottomLeft" activeCell="D70" sqref="D70"/>
    </sheetView>
  </sheetViews>
  <sheetFormatPr defaultColWidth="8.875" defaultRowHeight="15" x14ac:dyDescent="0.25"/>
  <cols>
    <col min="1" max="1" width="24.875" style="19" hidden="1" customWidth="1"/>
    <col min="2" max="2" width="33.125" style="19" hidden="1" customWidth="1"/>
    <col min="3" max="3" width="40.5" style="10" customWidth="1"/>
    <col min="4" max="6" width="14.625" style="22" customWidth="1"/>
    <col min="7" max="7" width="14.625" style="22" hidden="1" customWidth="1"/>
    <col min="8" max="8" width="14.625" style="22" customWidth="1"/>
    <col min="9" max="14" width="14.625" style="22" hidden="1" customWidth="1"/>
    <col min="15" max="15" width="15.125" style="10" hidden="1" customWidth="1"/>
    <col min="16" max="16" width="15.125" style="13" hidden="1" customWidth="1"/>
    <col min="17" max="20" width="13.375" style="7" hidden="1" customWidth="1"/>
    <col min="21" max="23" width="13.375" style="7" customWidth="1"/>
    <col min="24" max="28" width="13.375" style="8" customWidth="1"/>
    <col min="29" max="29" width="15.5" style="126" customWidth="1"/>
    <col min="30" max="31" width="11.5" style="126" hidden="1" customWidth="1"/>
    <col min="32" max="32" width="12.125" style="126" hidden="1" customWidth="1"/>
    <col min="33" max="40" width="19.875" style="126" hidden="1" customWidth="1"/>
    <col min="41" max="43" width="8.875" style="126" hidden="1" customWidth="1"/>
    <col min="44" max="44" width="11.5" style="126" hidden="1" customWidth="1"/>
    <col min="45" max="45" width="10.5" style="126" hidden="1" customWidth="1"/>
    <col min="46" max="46" width="8.875" style="126" hidden="1" customWidth="1"/>
    <col min="47" max="69" width="8.875" style="126" customWidth="1"/>
    <col min="70" max="71" width="8.875" style="126"/>
    <col min="72" max="16384" width="8.875" style="93"/>
  </cols>
  <sheetData>
    <row r="1" spans="1:43" s="8" customFormat="1" x14ac:dyDescent="0.25">
      <c r="A1" s="1"/>
      <c r="B1" s="2"/>
      <c r="C1" s="4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3"/>
      <c r="P1" s="6"/>
      <c r="Q1" s="7"/>
      <c r="R1" s="7"/>
      <c r="S1" s="7"/>
      <c r="T1" s="7"/>
      <c r="U1" s="7"/>
      <c r="V1" s="7"/>
      <c r="W1" s="7"/>
    </row>
    <row r="2" spans="1:43" s="8" customFormat="1" x14ac:dyDescent="0.25">
      <c r="A2" s="9"/>
      <c r="B2" s="7"/>
      <c r="C2" s="11" t="s">
        <v>1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3"/>
      <c r="Q2" s="7"/>
      <c r="R2" s="7"/>
      <c r="S2" s="7"/>
      <c r="T2" s="7"/>
      <c r="U2" s="7"/>
      <c r="V2" s="7"/>
      <c r="W2" s="7"/>
    </row>
    <row r="3" spans="1:43" s="8" customFormat="1" x14ac:dyDescent="0.25">
      <c r="A3" s="9"/>
      <c r="B3" s="7"/>
      <c r="C3" s="11" t="s">
        <v>2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3"/>
      <c r="Q3" s="7"/>
      <c r="R3" s="7"/>
      <c r="S3" s="7"/>
      <c r="T3" s="7"/>
      <c r="U3" s="7"/>
      <c r="V3" s="7"/>
      <c r="W3" s="7"/>
    </row>
    <row r="4" spans="1:43" s="8" customFormat="1" ht="13.5" customHeight="1" x14ac:dyDescent="0.25">
      <c r="A4" s="9"/>
      <c r="B4" s="7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2"/>
      <c r="Q4" s="7"/>
      <c r="R4" s="7"/>
      <c r="S4" s="7"/>
      <c r="T4" s="7"/>
      <c r="U4" s="7"/>
      <c r="V4" s="7"/>
      <c r="W4" s="7"/>
    </row>
    <row r="5" spans="1:43" s="8" customFormat="1" x14ac:dyDescent="0.25">
      <c r="A5" s="9"/>
      <c r="B5" s="7"/>
      <c r="C5" s="14" t="s">
        <v>3</v>
      </c>
      <c r="D5" s="14" t="s">
        <v>4</v>
      </c>
      <c r="E5" s="14" t="s">
        <v>5</v>
      </c>
      <c r="F5" s="257" t="s">
        <v>6</v>
      </c>
      <c r="G5" s="14" t="s">
        <v>7</v>
      </c>
      <c r="H5" s="257" t="s">
        <v>8</v>
      </c>
      <c r="I5" s="14" t="s">
        <v>9</v>
      </c>
      <c r="J5" s="257" t="s">
        <v>10</v>
      </c>
      <c r="K5" s="14" t="s">
        <v>11</v>
      </c>
      <c r="L5" s="257" t="s">
        <v>12</v>
      </c>
      <c r="M5" s="14" t="s">
        <v>13</v>
      </c>
      <c r="N5" s="257" t="s">
        <v>14</v>
      </c>
      <c r="O5" s="14" t="s">
        <v>15</v>
      </c>
      <c r="P5" s="209" t="s">
        <v>16</v>
      </c>
      <c r="Q5" s="7"/>
      <c r="R5" s="7"/>
      <c r="S5" s="7"/>
      <c r="T5" s="7"/>
      <c r="U5" s="7"/>
      <c r="V5" s="7"/>
      <c r="W5" s="7"/>
    </row>
    <row r="6" spans="1:43" s="8" customFormat="1" x14ac:dyDescent="0.25">
      <c r="A6" s="16" t="s">
        <v>17</v>
      </c>
      <c r="B6" s="17"/>
      <c r="C6" s="14"/>
      <c r="D6" s="14" t="s">
        <v>18</v>
      </c>
      <c r="E6" s="14" t="s">
        <v>19</v>
      </c>
      <c r="F6" s="14" t="s">
        <v>18</v>
      </c>
      <c r="G6" s="14" t="s">
        <v>18</v>
      </c>
      <c r="H6" s="14" t="s">
        <v>20</v>
      </c>
      <c r="I6" s="14" t="s">
        <v>18</v>
      </c>
      <c r="J6" s="14" t="s">
        <v>20</v>
      </c>
      <c r="K6" s="14" t="s">
        <v>18</v>
      </c>
      <c r="L6" s="14" t="s">
        <v>20</v>
      </c>
      <c r="M6" s="14" t="s">
        <v>18</v>
      </c>
      <c r="N6" s="14" t="s">
        <v>20</v>
      </c>
      <c r="O6" s="14" t="s">
        <v>18</v>
      </c>
      <c r="P6" s="15" t="s">
        <v>20</v>
      </c>
      <c r="Q6" s="7"/>
      <c r="R6" s="7"/>
      <c r="S6" s="7"/>
      <c r="T6" s="7"/>
      <c r="U6" s="7"/>
      <c r="V6" s="7"/>
      <c r="W6" s="7"/>
    </row>
    <row r="7" spans="1:43" s="24" customFormat="1" x14ac:dyDescent="0.25">
      <c r="A7" s="18"/>
      <c r="B7" s="19"/>
      <c r="C7" s="21" t="s">
        <v>21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10"/>
      <c r="P7" s="23"/>
      <c r="Q7" s="19"/>
      <c r="R7" s="19"/>
      <c r="S7" s="19"/>
      <c r="T7" s="19"/>
      <c r="U7" s="19"/>
      <c r="V7" s="19"/>
      <c r="W7" s="19"/>
    </row>
    <row r="8" spans="1:43" s="378" customFormat="1" ht="14.45" customHeight="1" x14ac:dyDescent="0.25">
      <c r="A8" s="371" t="s">
        <v>22</v>
      </c>
      <c r="B8" s="383" t="s">
        <v>23</v>
      </c>
      <c r="C8" s="373" t="s">
        <v>24</v>
      </c>
      <c r="D8" s="370">
        <f>VLOOKUP(A8,INV!A:N,14,FALSE)</f>
        <v>4000000</v>
      </c>
      <c r="E8" s="370">
        <v>3750000</v>
      </c>
      <c r="F8" s="370">
        <v>3549600</v>
      </c>
      <c r="G8" s="370">
        <v>3200000</v>
      </c>
      <c r="H8" s="370">
        <v>3727064</v>
      </c>
      <c r="I8" s="370">
        <v>2880000</v>
      </c>
      <c r="J8" s="370">
        <v>3171103</v>
      </c>
      <c r="K8" s="370">
        <v>2784000</v>
      </c>
      <c r="L8" s="370">
        <v>2946622</v>
      </c>
      <c r="M8" s="370">
        <v>2738159.4000000004</v>
      </c>
      <c r="N8" s="370">
        <v>2790912</v>
      </c>
      <c r="O8" s="405">
        <v>2684470</v>
      </c>
      <c r="P8" s="370">
        <v>2819652.96</v>
      </c>
      <c r="Q8" s="375"/>
      <c r="R8" s="375"/>
      <c r="S8" s="375"/>
      <c r="T8" s="375"/>
      <c r="U8" s="375"/>
      <c r="V8" s="375"/>
      <c r="W8" s="375"/>
      <c r="X8" s="377"/>
      <c r="Y8" s="377"/>
      <c r="Z8" s="377"/>
      <c r="AA8" s="377"/>
      <c r="AB8" s="377"/>
    </row>
    <row r="9" spans="1:43" s="24" customFormat="1" ht="14.45" hidden="1" customHeight="1" x14ac:dyDescent="0.25">
      <c r="A9" s="32" t="s">
        <v>25</v>
      </c>
      <c r="B9" s="33" t="s">
        <v>23</v>
      </c>
      <c r="C9" s="10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9"/>
      <c r="P9" s="26"/>
      <c r="Q9" s="30"/>
      <c r="R9" s="30"/>
      <c r="S9" s="30"/>
      <c r="T9" s="30"/>
      <c r="U9" s="30"/>
      <c r="V9" s="30"/>
      <c r="W9" s="30"/>
      <c r="X9" s="31"/>
      <c r="Y9" s="31"/>
      <c r="Z9" s="31"/>
      <c r="AA9" s="31"/>
      <c r="AB9" s="31"/>
    </row>
    <row r="10" spans="1:43" s="24" customFormat="1" ht="14.45" hidden="1" customHeight="1" x14ac:dyDescent="0.25">
      <c r="A10" s="34" t="s">
        <v>26</v>
      </c>
      <c r="B10" s="35" t="s">
        <v>23</v>
      </c>
      <c r="C10" s="3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9"/>
      <c r="P10" s="26"/>
      <c r="Q10" s="30"/>
      <c r="R10" s="30"/>
      <c r="S10" s="30"/>
      <c r="T10" s="30"/>
      <c r="U10" s="30"/>
      <c r="V10" s="30"/>
      <c r="W10" s="30"/>
      <c r="X10" s="31"/>
      <c r="Y10" s="31"/>
      <c r="Z10" s="31"/>
      <c r="AA10" s="31"/>
      <c r="AB10" s="31"/>
    </row>
    <row r="11" spans="1:43" s="24" customFormat="1" ht="14.45" hidden="1" customHeight="1" x14ac:dyDescent="0.25">
      <c r="A11" s="37" t="s">
        <v>27</v>
      </c>
      <c r="B11" s="38" t="s">
        <v>23</v>
      </c>
      <c r="C11" s="10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9"/>
      <c r="P11" s="26"/>
      <c r="Q11" s="30"/>
      <c r="R11" s="30"/>
      <c r="S11" s="30"/>
      <c r="T11" s="30"/>
      <c r="U11" s="30"/>
      <c r="V11" s="30"/>
      <c r="W11" s="30"/>
      <c r="X11" s="31"/>
      <c r="Y11" s="31"/>
      <c r="Z11" s="31"/>
      <c r="AA11" s="31"/>
      <c r="AB11" s="31"/>
    </row>
    <row r="12" spans="1:43" s="378" customFormat="1" x14ac:dyDescent="0.25">
      <c r="A12" s="371" t="s">
        <v>25</v>
      </c>
      <c r="B12" s="383" t="s">
        <v>23</v>
      </c>
      <c r="C12" s="373" t="s">
        <v>28</v>
      </c>
      <c r="D12" s="370">
        <f>VLOOKUP(A12,INV!A:N,14,FALSE)</f>
        <v>3000</v>
      </c>
      <c r="E12" s="370">
        <v>1636.38</v>
      </c>
      <c r="F12" s="370">
        <v>3000</v>
      </c>
      <c r="G12" s="370">
        <v>3000</v>
      </c>
      <c r="H12" s="370">
        <v>3621</v>
      </c>
      <c r="I12" s="370">
        <v>3000</v>
      </c>
      <c r="J12" s="370">
        <v>1909.11</v>
      </c>
      <c r="K12" s="370">
        <v>9500</v>
      </c>
      <c r="L12" s="370">
        <v>1722</v>
      </c>
      <c r="M12" s="370">
        <v>9500</v>
      </c>
      <c r="N12" s="370">
        <v>3311</v>
      </c>
      <c r="O12" s="405">
        <v>9500</v>
      </c>
      <c r="P12" s="370">
        <f>-92.07+6417.54</f>
        <v>6325.47</v>
      </c>
      <c r="Q12" s="375"/>
      <c r="R12" s="375"/>
      <c r="S12" s="375"/>
      <c r="T12" s="375"/>
      <c r="U12" s="375"/>
      <c r="V12" s="375"/>
      <c r="W12" s="375"/>
      <c r="X12" s="377"/>
      <c r="Y12" s="377"/>
      <c r="Z12" s="377"/>
      <c r="AA12" s="377"/>
      <c r="AB12" s="377"/>
    </row>
    <row r="13" spans="1:43" s="24" customFormat="1" ht="14.45" customHeight="1" x14ac:dyDescent="0.25">
      <c r="A13" s="18"/>
      <c r="B13" s="19"/>
      <c r="C13" s="39" t="s">
        <v>29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40"/>
      <c r="P13" s="40"/>
      <c r="Q13" s="30"/>
      <c r="R13" s="30" t="s">
        <v>30</v>
      </c>
      <c r="S13" s="30"/>
      <c r="T13" s="30"/>
      <c r="U13" s="30"/>
      <c r="V13" s="30"/>
      <c r="W13" s="30"/>
      <c r="X13" s="31"/>
      <c r="Y13" s="31"/>
      <c r="Z13" s="31"/>
      <c r="AA13" s="31"/>
      <c r="AB13" s="31"/>
    </row>
    <row r="14" spans="1:43" s="403" customFormat="1" ht="15.75" x14ac:dyDescent="0.25">
      <c r="A14" s="371" t="s">
        <v>31</v>
      </c>
      <c r="B14" s="383" t="s">
        <v>32</v>
      </c>
      <c r="C14" s="400" t="s">
        <v>33</v>
      </c>
      <c r="D14" s="370">
        <f>VLOOKUP(A14,'CS PROP'!A:N,14,FALSE)</f>
        <v>-22789.341379519901</v>
      </c>
      <c r="E14" s="370">
        <v>2656.9799999999832</v>
      </c>
      <c r="F14" s="370">
        <v>-10427.719438783592</v>
      </c>
      <c r="G14" s="370">
        <v>11249.058029553038</v>
      </c>
      <c r="H14" s="370">
        <v>40053</v>
      </c>
      <c r="I14" s="370">
        <v>42722.442828774976</v>
      </c>
      <c r="J14" s="370">
        <v>37604</v>
      </c>
      <c r="K14" s="370">
        <v>20695.680455256021</v>
      </c>
      <c r="L14" s="370">
        <v>3297.25</v>
      </c>
      <c r="M14" s="370">
        <v>101014.27403055981</v>
      </c>
      <c r="N14" s="370">
        <v>-142348</v>
      </c>
      <c r="O14" s="405">
        <v>143262.38288168813</v>
      </c>
      <c r="P14" s="370">
        <v>248643.25</v>
      </c>
      <c r="Q14" s="375"/>
      <c r="R14" s="375" t="s">
        <v>34</v>
      </c>
      <c r="S14" s="375"/>
      <c r="T14" s="375"/>
      <c r="U14" s="375"/>
      <c r="V14" s="375"/>
      <c r="W14" s="375"/>
      <c r="X14" s="377"/>
      <c r="Y14" s="377"/>
      <c r="Z14" s="377"/>
      <c r="AA14" s="377"/>
      <c r="AB14" s="377"/>
    </row>
    <row r="15" spans="1:43" s="403" customFormat="1" ht="15.75" x14ac:dyDescent="0.25">
      <c r="A15" s="371" t="s">
        <v>31</v>
      </c>
      <c r="B15" s="383" t="s">
        <v>35</v>
      </c>
      <c r="C15" s="400" t="s">
        <v>36</v>
      </c>
      <c r="D15" s="370">
        <f>VLOOKUP(A15,'CAT PROP'!A:N,14,FALSE)</f>
        <v>122510.27385048004</v>
      </c>
      <c r="E15" s="370">
        <v>175319.78000000003</v>
      </c>
      <c r="F15" s="370">
        <v>160902.85745746642</v>
      </c>
      <c r="G15" s="370">
        <v>100381.23004707618</v>
      </c>
      <c r="H15" s="370">
        <v>-31462</v>
      </c>
      <c r="I15" s="370">
        <v>241064.73431198846</v>
      </c>
      <c r="J15" s="370">
        <v>57589</v>
      </c>
      <c r="K15" s="370">
        <v>178233.49581545877</v>
      </c>
      <c r="L15" s="370">
        <v>245937</v>
      </c>
      <c r="M15" s="370">
        <v>240557.57913332363</v>
      </c>
      <c r="N15" s="370">
        <v>213078</v>
      </c>
      <c r="O15" s="405">
        <v>195658.12966203038</v>
      </c>
      <c r="P15" s="370">
        <v>169095.37</v>
      </c>
      <c r="Q15" s="376"/>
      <c r="R15" s="375"/>
      <c r="S15" s="375"/>
      <c r="T15" s="375"/>
      <c r="U15" s="375"/>
      <c r="V15" s="375"/>
      <c r="W15" s="375"/>
      <c r="X15" s="377"/>
      <c r="Y15" s="377"/>
      <c r="Z15" s="377"/>
      <c r="AA15" s="377"/>
      <c r="AB15" s="377"/>
    </row>
    <row r="16" spans="1:43" customFormat="1" ht="15.75" hidden="1" x14ac:dyDescent="0.25">
      <c r="A16" s="18" t="s">
        <v>31</v>
      </c>
      <c r="B16" s="25" t="s">
        <v>37</v>
      </c>
      <c r="C16" s="22" t="s">
        <v>38</v>
      </c>
      <c r="D16" s="75">
        <v>0</v>
      </c>
      <c r="E16" s="75">
        <v>0</v>
      </c>
      <c r="F16" s="75">
        <v>0</v>
      </c>
      <c r="G16" s="26">
        <v>31616.384460799803</v>
      </c>
      <c r="H16" s="75">
        <v>0</v>
      </c>
      <c r="I16" s="26">
        <v>56308.805135207134</v>
      </c>
      <c r="J16" s="26">
        <v>-48449.02</v>
      </c>
      <c r="K16" s="26">
        <v>40023.949239361493</v>
      </c>
      <c r="L16" s="26">
        <v>40073</v>
      </c>
      <c r="M16" s="26">
        <v>4593.8263489807869</v>
      </c>
      <c r="N16" s="26">
        <v>20232</v>
      </c>
      <c r="O16" s="29">
        <v>1693.8116373627126</v>
      </c>
      <c r="P16" s="26">
        <v>1762</v>
      </c>
      <c r="Q16" s="42"/>
      <c r="R16" s="30"/>
      <c r="S16" s="30"/>
      <c r="T16" s="30"/>
      <c r="U16" s="30"/>
      <c r="V16" s="30"/>
      <c r="W16" s="30"/>
      <c r="X16" s="31"/>
      <c r="Y16" s="31"/>
      <c r="Z16" s="31"/>
      <c r="AA16" s="31"/>
      <c r="AB16" s="31"/>
      <c r="AD16" s="43"/>
      <c r="AG16" s="44"/>
      <c r="AK16" t="s">
        <v>39</v>
      </c>
      <c r="AQ16" t="s">
        <v>40</v>
      </c>
    </row>
    <row r="17" spans="1:45" customFormat="1" ht="15.75" x14ac:dyDescent="0.25">
      <c r="A17" s="18"/>
      <c r="B17" s="25"/>
      <c r="C17" s="22" t="s">
        <v>41</v>
      </c>
      <c r="D17" s="26">
        <f>'CAT OUT'!G11</f>
        <v>71316.694065085874</v>
      </c>
      <c r="E17" s="26">
        <v>77607.67</v>
      </c>
      <c r="F17" s="26">
        <v>59492</v>
      </c>
      <c r="G17" s="26"/>
      <c r="H17" s="75"/>
      <c r="I17" s="26"/>
      <c r="J17" s="26"/>
      <c r="K17" s="26"/>
      <c r="L17" s="26"/>
      <c r="M17" s="26"/>
      <c r="N17" s="26"/>
      <c r="O17" s="29"/>
      <c r="P17" s="26"/>
      <c r="Q17" s="42"/>
      <c r="R17" s="30"/>
      <c r="S17" s="30"/>
      <c r="T17" s="30"/>
      <c r="U17" s="30"/>
      <c r="V17" s="30"/>
      <c r="W17" s="30"/>
      <c r="X17" s="31"/>
      <c r="Y17" s="31"/>
      <c r="Z17" s="31"/>
      <c r="AA17" s="31"/>
      <c r="AB17" s="31"/>
      <c r="AD17" s="43"/>
      <c r="AG17" s="44"/>
    </row>
    <row r="18" spans="1:45" s="8" customFormat="1" x14ac:dyDescent="0.25">
      <c r="A18" s="9" t="s">
        <v>31</v>
      </c>
      <c r="B18" s="164"/>
      <c r="C18" s="12" t="s">
        <v>42</v>
      </c>
      <c r="D18" s="26">
        <f>VLOOKUP(A18,TAV!A:N,14,FALSE)</f>
        <v>63838.976321563619</v>
      </c>
      <c r="E18" s="26">
        <v>-30195.970000000023</v>
      </c>
      <c r="F18" s="26">
        <v>57209.934886701114</v>
      </c>
      <c r="G18" s="26">
        <v>39440.408371177502</v>
      </c>
      <c r="H18" s="26">
        <v>6300</v>
      </c>
      <c r="I18" s="26">
        <v>30634.414936564513</v>
      </c>
      <c r="J18" s="26">
        <v>-51652</v>
      </c>
      <c r="K18" s="27">
        <v>15234.414936564513</v>
      </c>
      <c r="L18" s="27">
        <v>-9676</v>
      </c>
      <c r="M18" s="26">
        <v>23161.706975701964</v>
      </c>
      <c r="N18" s="27">
        <v>56479</v>
      </c>
      <c r="O18" s="28">
        <v>39628.049703457626</v>
      </c>
      <c r="P18" s="28">
        <v>-18104.419999999998</v>
      </c>
      <c r="Q18" s="72"/>
      <c r="R18" s="61"/>
      <c r="S18" s="61"/>
      <c r="T18" s="61"/>
      <c r="U18" s="61"/>
      <c r="V18" s="61"/>
      <c r="W18" s="61"/>
      <c r="X18" s="62"/>
      <c r="Y18" s="62"/>
      <c r="Z18" s="62"/>
      <c r="AA18" s="62"/>
      <c r="AB18" s="62"/>
      <c r="AD18" s="63"/>
      <c r="AE18" s="165" t="s">
        <v>43</v>
      </c>
      <c r="AF18" s="166"/>
      <c r="AG18" s="167" t="s">
        <v>44</v>
      </c>
      <c r="AH18" s="166"/>
      <c r="AI18" s="166"/>
      <c r="AJ18" s="166"/>
      <c r="AQ18" s="168"/>
      <c r="AR18" s="169"/>
      <c r="AS18" s="170"/>
    </row>
    <row r="19" spans="1:45" s="24" customFormat="1" hidden="1" x14ac:dyDescent="0.25">
      <c r="A19" s="18" t="s">
        <v>31</v>
      </c>
      <c r="B19" s="25" t="s">
        <v>45</v>
      </c>
      <c r="C19" s="10" t="s">
        <v>46</v>
      </c>
      <c r="D19" s="26"/>
      <c r="E19" s="26">
        <v>-306326.28000000003</v>
      </c>
      <c r="F19" s="26"/>
      <c r="G19" s="26"/>
      <c r="H19" s="26"/>
      <c r="I19" s="26"/>
      <c r="J19" s="26"/>
      <c r="K19" s="26"/>
      <c r="L19" s="26"/>
      <c r="M19" s="26"/>
      <c r="N19" s="26"/>
      <c r="O19" s="20"/>
      <c r="P19" s="20"/>
      <c r="Q19" s="42"/>
      <c r="R19" s="30"/>
      <c r="S19" s="30"/>
      <c r="T19" s="30"/>
      <c r="U19" s="30"/>
      <c r="V19" s="30"/>
      <c r="W19" s="30"/>
      <c r="X19" s="31"/>
      <c r="Y19" s="31"/>
      <c r="Z19" s="31"/>
      <c r="AA19" s="31"/>
      <c r="AB19" s="31"/>
      <c r="AD19" s="45"/>
      <c r="AE19" s="46"/>
      <c r="AG19" s="47"/>
      <c r="AQ19" s="48"/>
      <c r="AR19" s="49"/>
      <c r="AS19" s="50"/>
    </row>
    <row r="20" spans="1:45" s="24" customFormat="1" hidden="1" x14ac:dyDescent="0.25">
      <c r="A20" s="18" t="s">
        <v>31</v>
      </c>
      <c r="B20" s="25" t="s">
        <v>47</v>
      </c>
      <c r="C20" s="36" t="s">
        <v>48</v>
      </c>
      <c r="D20" s="26"/>
      <c r="E20" s="26">
        <v>77607.67</v>
      </c>
      <c r="F20" s="26"/>
      <c r="G20" s="26"/>
      <c r="H20" s="26"/>
      <c r="I20" s="26"/>
      <c r="J20" s="26"/>
      <c r="K20" s="26"/>
      <c r="L20" s="26"/>
      <c r="M20" s="26"/>
      <c r="N20" s="26"/>
      <c r="O20" s="20"/>
      <c r="P20" s="20"/>
      <c r="Q20" s="42"/>
      <c r="R20" s="30"/>
      <c r="S20" s="30"/>
      <c r="T20" s="30"/>
      <c r="U20" s="30"/>
      <c r="V20" s="30"/>
      <c r="W20" s="30"/>
      <c r="X20" s="31"/>
      <c r="Y20" s="31"/>
      <c r="Z20" s="31"/>
      <c r="AA20" s="31"/>
      <c r="AB20" s="31"/>
      <c r="AD20" s="45"/>
      <c r="AE20" s="46"/>
      <c r="AG20" s="47"/>
      <c r="AQ20" s="48"/>
      <c r="AR20" s="49"/>
      <c r="AS20" s="50"/>
    </row>
    <row r="21" spans="1:45" customFormat="1" ht="15.75" x14ac:dyDescent="0.25">
      <c r="A21" s="18" t="s">
        <v>49</v>
      </c>
      <c r="B21" s="19"/>
      <c r="C21" s="10" t="s">
        <v>50</v>
      </c>
      <c r="D21" s="26">
        <f>'CAT OUT'!G13-D17</f>
        <v>69024.793531557749</v>
      </c>
      <c r="E21" s="26">
        <v>-56541.399999999383</v>
      </c>
      <c r="F21" s="26">
        <f>78510-F17</f>
        <v>19018</v>
      </c>
      <c r="G21" s="26">
        <v>18781.020000000019</v>
      </c>
      <c r="H21" s="26">
        <f>28587-H18</f>
        <v>22287</v>
      </c>
      <c r="I21" s="26">
        <v>31169.458071691275</v>
      </c>
      <c r="J21" s="26">
        <f>-86900.48-J18</f>
        <v>-35248.479999999996</v>
      </c>
      <c r="K21" s="26">
        <v>22990.512314910593</v>
      </c>
      <c r="L21" s="26">
        <f>-253229.13+204643-L18</f>
        <v>-38910.130000000005</v>
      </c>
      <c r="M21" s="26">
        <v>77507.031690575997</v>
      </c>
      <c r="N21" s="26">
        <v>241096</v>
      </c>
      <c r="O21" s="20">
        <v>-67052.802137766092</v>
      </c>
      <c r="P21" s="20">
        <f>547165.14-498152.97-P18</f>
        <v>67116.59000000004</v>
      </c>
      <c r="Q21" s="42"/>
      <c r="R21" s="30" t="s">
        <v>30</v>
      </c>
      <c r="S21" s="30"/>
      <c r="T21" s="30"/>
      <c r="U21" s="30"/>
      <c r="V21" s="30"/>
      <c r="W21" s="30"/>
      <c r="X21" s="31"/>
      <c r="Y21" s="31"/>
      <c r="Z21" s="31"/>
      <c r="AA21" s="31"/>
      <c r="AB21" s="31"/>
      <c r="AD21" s="51" t="s">
        <v>51</v>
      </c>
      <c r="AE21" s="52">
        <v>-31436.6</v>
      </c>
      <c r="AF21" s="43">
        <v>60100.1</v>
      </c>
      <c r="AG21" s="44">
        <v>-459.93</v>
      </c>
      <c r="AH21" s="43">
        <v>95145.79</v>
      </c>
      <c r="AI21" s="43">
        <v>605286.22</v>
      </c>
      <c r="AJ21" s="43">
        <v>474479.37</v>
      </c>
      <c r="AQ21" s="53" t="s">
        <v>52</v>
      </c>
      <c r="AR21" s="45">
        <v>529663.01</v>
      </c>
      <c r="AS21" s="54">
        <f>AR21-AR35</f>
        <v>268640.86</v>
      </c>
    </row>
    <row r="22" spans="1:45" s="46" customFormat="1" x14ac:dyDescent="0.25">
      <c r="A22" s="55"/>
      <c r="B22" s="56"/>
      <c r="C22" s="57" t="s">
        <v>53</v>
      </c>
      <c r="D22" s="58">
        <f>D21+D18+D16+D15+D14+D12+D8+D17</f>
        <v>4306901.3963891668</v>
      </c>
      <c r="E22" s="58">
        <f>E21+E18+E16+E15+E14+E12+E8+E17</f>
        <v>3920483.4400000004</v>
      </c>
      <c r="F22" s="58">
        <f>F21+F18+F16+F15+F14+F12+F8+F17</f>
        <v>3838795.072905384</v>
      </c>
      <c r="G22" s="58">
        <f t="shared" ref="G22:O22" si="0">G21+G18+G16+G15+G14+G12+G8</f>
        <v>3404468.1009086063</v>
      </c>
      <c r="H22" s="58">
        <f>H21+H18+H16+H15+H14+H12+H8+H17</f>
        <v>3767863</v>
      </c>
      <c r="I22" s="58">
        <f t="shared" si="0"/>
        <v>3284899.8552842261</v>
      </c>
      <c r="J22" s="58">
        <f t="shared" si="0"/>
        <v>3132855.61</v>
      </c>
      <c r="K22" s="58">
        <f t="shared" si="0"/>
        <v>3070678.0527615515</v>
      </c>
      <c r="L22" s="58">
        <f t="shared" si="0"/>
        <v>3189065.12</v>
      </c>
      <c r="M22" s="58">
        <f t="shared" si="0"/>
        <v>3194493.8181791427</v>
      </c>
      <c r="N22" s="58">
        <f t="shared" si="0"/>
        <v>3182760</v>
      </c>
      <c r="O22" s="58">
        <f t="shared" si="0"/>
        <v>3007159.5717467726</v>
      </c>
      <c r="P22" s="58">
        <f>SUM(P8:P21)</f>
        <v>3294491.22</v>
      </c>
      <c r="Q22" s="30"/>
      <c r="R22" s="30"/>
      <c r="S22" s="30"/>
      <c r="T22" s="30"/>
      <c r="U22" s="30"/>
      <c r="V22" s="30"/>
      <c r="W22" s="30"/>
      <c r="X22" s="31"/>
      <c r="Y22" s="31"/>
      <c r="Z22" s="31"/>
      <c r="AA22" s="31"/>
      <c r="AB22" s="31"/>
      <c r="AD22" s="46" t="s">
        <v>54</v>
      </c>
      <c r="AE22" s="49">
        <v>32342.66</v>
      </c>
      <c r="AF22" s="45">
        <v>-14972.93</v>
      </c>
      <c r="AG22" s="49">
        <v>-20257.240000000002</v>
      </c>
      <c r="AH22" s="49">
        <v>9770.7199999999993</v>
      </c>
      <c r="AI22" s="49">
        <v>65698.820000000007</v>
      </c>
      <c r="AJ22" s="49">
        <v>-74594.3</v>
      </c>
      <c r="AQ22" s="53" t="s">
        <v>55</v>
      </c>
      <c r="AR22" s="45">
        <v>29306.57</v>
      </c>
      <c r="AS22" s="59"/>
    </row>
    <row r="23" spans="1:45" s="8" customFormat="1" ht="15.75" x14ac:dyDescent="0.25">
      <c r="A23" s="18"/>
      <c r="B23" s="19"/>
      <c r="C23" s="21" t="s">
        <v>56</v>
      </c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20"/>
      <c r="P23" s="60"/>
      <c r="Q23" s="61"/>
      <c r="R23" s="61"/>
      <c r="S23" s="61"/>
      <c r="T23" s="61"/>
      <c r="U23" s="61"/>
      <c r="V23" s="61"/>
      <c r="W23" s="61"/>
      <c r="X23" s="62"/>
      <c r="Y23" s="62"/>
      <c r="Z23" s="62"/>
      <c r="AA23" s="62"/>
      <c r="AB23" s="62"/>
      <c r="AD23" s="8" t="s">
        <v>57</v>
      </c>
      <c r="AE23" s="63">
        <v>-20786.599999999999</v>
      </c>
      <c r="AF23" s="63">
        <v>-8866.34</v>
      </c>
      <c r="AG23" s="63">
        <v>-13622.28</v>
      </c>
      <c r="AH23" s="63">
        <v>-95109.66</v>
      </c>
      <c r="AI23" s="63">
        <v>-88663.4</v>
      </c>
      <c r="AJ23" s="63">
        <v>-189432.84</v>
      </c>
      <c r="AQ23" s="64" t="s">
        <v>58</v>
      </c>
      <c r="AR23" s="65">
        <v>-270194.02</v>
      </c>
      <c r="AS23" s="66"/>
    </row>
    <row r="24" spans="1:45" s="378" customFormat="1" ht="15.75" customHeight="1" x14ac:dyDescent="0.25">
      <c r="A24" s="371" t="s">
        <v>31</v>
      </c>
      <c r="B24" s="383" t="s">
        <v>59</v>
      </c>
      <c r="C24" s="373" t="s">
        <v>60</v>
      </c>
      <c r="D24" s="370">
        <f>VLOOKUP(A24,PRES!A:N,14,FALSE)</f>
        <v>-100157.54364697952</v>
      </c>
      <c r="E24" s="370">
        <v>-61258.660000000011</v>
      </c>
      <c r="F24" s="370">
        <v>-83577.666914753703</v>
      </c>
      <c r="G24" s="370">
        <v>-64749.384375878159</v>
      </c>
      <c r="H24" s="370">
        <v>-61329</v>
      </c>
      <c r="I24" s="370">
        <v>-62394.101999916711</v>
      </c>
      <c r="J24" s="370">
        <v>-51243</v>
      </c>
      <c r="K24" s="370">
        <v>-61294.559720178797</v>
      </c>
      <c r="L24" s="370">
        <v>-52013</v>
      </c>
      <c r="M24" s="370">
        <v>-56967.050934792584</v>
      </c>
      <c r="N24" s="370">
        <v>-23096.350000000006</v>
      </c>
      <c r="O24" s="374">
        <v>-62515.066104183774</v>
      </c>
      <c r="P24" s="374">
        <v>-57024.04</v>
      </c>
      <c r="Q24" s="375"/>
      <c r="R24" s="375" t="e">
        <f>#REF!-D24</f>
        <v>#REF!</v>
      </c>
      <c r="S24" s="375"/>
      <c r="T24" s="375"/>
      <c r="U24" s="375"/>
      <c r="V24" s="375"/>
      <c r="W24" s="375"/>
      <c r="X24" s="377"/>
      <c r="Y24" s="377"/>
      <c r="Z24" s="377"/>
      <c r="AA24" s="377"/>
      <c r="AB24" s="377"/>
      <c r="AE24" s="393">
        <f t="shared" ref="AE24:AJ24" si="1">SUM(AE21:AE23)</f>
        <v>-19880.539999999997</v>
      </c>
      <c r="AF24" s="380">
        <f t="shared" si="1"/>
        <v>36260.83</v>
      </c>
      <c r="AG24" s="393">
        <f t="shared" si="1"/>
        <v>-34339.450000000004</v>
      </c>
      <c r="AH24" s="393">
        <f t="shared" si="1"/>
        <v>9806.8499999999913</v>
      </c>
      <c r="AI24" s="393">
        <f t="shared" si="1"/>
        <v>582321.64</v>
      </c>
      <c r="AJ24" s="393">
        <f t="shared" si="1"/>
        <v>210452.23</v>
      </c>
      <c r="AO24" s="378" t="s">
        <v>61</v>
      </c>
      <c r="AQ24" s="394" t="s">
        <v>62</v>
      </c>
      <c r="AR24" s="379">
        <v>17932.96</v>
      </c>
      <c r="AS24" s="382"/>
    </row>
    <row r="25" spans="1:45" s="8" customFormat="1" x14ac:dyDescent="0.25">
      <c r="A25" s="18" t="s">
        <v>31</v>
      </c>
      <c r="B25" s="25" t="s">
        <v>63</v>
      </c>
      <c r="C25" s="10" t="s">
        <v>64</v>
      </c>
      <c r="D25" s="26">
        <f>VLOOKUP(A25,GC!A:N,14,FALSE)-D26</f>
        <v>-455553.32918083988</v>
      </c>
      <c r="E25" s="26">
        <v>-407013.37000000005</v>
      </c>
      <c r="F25" s="26">
        <v>-385576.29723512148</v>
      </c>
      <c r="G25" s="26">
        <v>-366572.68093588535</v>
      </c>
      <c r="H25" s="26">
        <f>-415973-H26</f>
        <v>-353081</v>
      </c>
      <c r="I25" s="26">
        <v>-444041.37188084173</v>
      </c>
      <c r="J25" s="26">
        <f>-512678-J26</f>
        <v>-451918</v>
      </c>
      <c r="K25" s="26">
        <v>-396986.07967285998</v>
      </c>
      <c r="L25" s="26">
        <f>-441797-L26</f>
        <v>-390307</v>
      </c>
      <c r="M25" s="26">
        <v>-307319.61097286001</v>
      </c>
      <c r="N25" s="26">
        <v>-329239.18999999994</v>
      </c>
      <c r="O25" s="20">
        <v>-293133.83362170216</v>
      </c>
      <c r="P25" s="20">
        <f>-419543.89-P26</f>
        <v>-353334.25</v>
      </c>
      <c r="Q25" s="61"/>
      <c r="R25" s="61" t="e">
        <f>#REF!-D25</f>
        <v>#REF!</v>
      </c>
      <c r="S25" s="61"/>
      <c r="T25" s="61"/>
      <c r="U25" s="61"/>
      <c r="V25" s="61"/>
      <c r="W25" s="61"/>
      <c r="X25" s="62"/>
      <c r="Y25" s="62"/>
      <c r="Z25" s="62"/>
      <c r="AA25" s="62"/>
      <c r="AB25" s="62"/>
      <c r="AF25" s="63"/>
      <c r="AO25" s="8" t="s">
        <v>66</v>
      </c>
      <c r="AQ25" s="67" t="s">
        <v>67</v>
      </c>
      <c r="AR25" s="69">
        <v>243975.19</v>
      </c>
      <c r="AS25" s="68"/>
    </row>
    <row r="26" spans="1:45" s="8" customFormat="1" x14ac:dyDescent="0.25">
      <c r="A26" s="18" t="s">
        <v>68</v>
      </c>
      <c r="B26" s="25" t="s">
        <v>63</v>
      </c>
      <c r="C26" s="10" t="s">
        <v>69</v>
      </c>
      <c r="D26" s="26">
        <f>-VLOOKUP(A26,GC!A:N,14,FALSE)</f>
        <v>-62000</v>
      </c>
      <c r="E26" s="26">
        <v>-69314.490000000005</v>
      </c>
      <c r="F26" s="26">
        <v>-65000</v>
      </c>
      <c r="G26" s="26">
        <v>-62000</v>
      </c>
      <c r="H26" s="26">
        <v>-62892</v>
      </c>
      <c r="I26" s="26">
        <v>-60000</v>
      </c>
      <c r="J26" s="26">
        <v>-60760</v>
      </c>
      <c r="K26" s="26">
        <v>-62000</v>
      </c>
      <c r="L26" s="26">
        <v>-51490</v>
      </c>
      <c r="M26" s="26">
        <v>-60700</v>
      </c>
      <c r="N26" s="26">
        <v>-48947.22</v>
      </c>
      <c r="O26" s="20">
        <v>-60700</v>
      </c>
      <c r="P26" s="20">
        <v>-66209.64</v>
      </c>
      <c r="Q26" s="61"/>
      <c r="R26" s="61" t="e">
        <f>#REF!-D26</f>
        <v>#REF!</v>
      </c>
      <c r="S26" s="61"/>
      <c r="T26" s="61"/>
      <c r="U26" s="61"/>
      <c r="V26" s="61"/>
      <c r="W26" s="61"/>
      <c r="X26" s="62"/>
      <c r="Y26" s="62"/>
      <c r="Z26" s="62"/>
      <c r="AA26" s="62"/>
      <c r="AB26" s="62"/>
      <c r="AF26" s="63"/>
      <c r="AQ26" s="67"/>
      <c r="AR26" s="69"/>
      <c r="AS26" s="68"/>
    </row>
    <row r="27" spans="1:45" s="378" customFormat="1" x14ac:dyDescent="0.25">
      <c r="A27" s="371" t="s">
        <v>31</v>
      </c>
      <c r="B27" s="383" t="s">
        <v>70</v>
      </c>
      <c r="C27" s="373" t="s">
        <v>71</v>
      </c>
      <c r="D27" s="370">
        <f>VLOOKUP(A27,PEL!A:N,14,FALSE)</f>
        <v>-49458.526188187701</v>
      </c>
      <c r="E27" s="370">
        <v>-54021.270000000004</v>
      </c>
      <c r="F27" s="370">
        <v>-47567.720654341574</v>
      </c>
      <c r="G27" s="370">
        <v>-44779.7486707719</v>
      </c>
      <c r="H27" s="370">
        <v>-48695</v>
      </c>
      <c r="I27" s="370">
        <v>-46263.830174950024</v>
      </c>
      <c r="J27" s="370">
        <v>-41311</v>
      </c>
      <c r="K27" s="370">
        <v>-48610.170000000006</v>
      </c>
      <c r="L27" s="370">
        <v>-44785</v>
      </c>
      <c r="M27" s="370">
        <v>-44262.288560875553</v>
      </c>
      <c r="N27" s="370">
        <v>-40062.19</v>
      </c>
      <c r="O27" s="374">
        <v>-50781.156584588745</v>
      </c>
      <c r="P27" s="374">
        <v>-58511.3</v>
      </c>
      <c r="Q27" s="375"/>
      <c r="R27" s="375" t="e">
        <f>#REF!-D27</f>
        <v>#REF!</v>
      </c>
      <c r="S27" s="375"/>
      <c r="T27" s="375"/>
      <c r="U27" s="375"/>
      <c r="V27" s="375"/>
      <c r="W27" s="375"/>
      <c r="X27" s="377"/>
      <c r="Y27" s="377"/>
      <c r="Z27" s="377"/>
      <c r="AA27" s="377"/>
      <c r="AB27" s="377"/>
      <c r="AF27" s="389"/>
      <c r="AQ27" s="394"/>
      <c r="AR27" s="391"/>
      <c r="AS27" s="382"/>
    </row>
    <row r="28" spans="1:45" s="8" customFormat="1" x14ac:dyDescent="0.25">
      <c r="A28" s="18"/>
      <c r="B28" s="19"/>
      <c r="C28" s="21" t="s">
        <v>72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0"/>
      <c r="P28" s="40"/>
      <c r="Q28" s="61"/>
      <c r="R28" s="61"/>
      <c r="S28" s="61"/>
      <c r="T28" s="61"/>
      <c r="U28" s="61"/>
      <c r="V28" s="61"/>
      <c r="W28" s="61"/>
      <c r="X28" s="62"/>
      <c r="Y28" s="62"/>
      <c r="Z28" s="62"/>
      <c r="AA28" s="62"/>
      <c r="AB28" s="62"/>
      <c r="AF28" s="70"/>
      <c r="AQ28" s="71" t="s">
        <v>73</v>
      </c>
      <c r="AR28" s="69">
        <v>-80931</v>
      </c>
      <c r="AS28" s="68"/>
    </row>
    <row r="29" spans="1:45" s="378" customFormat="1" x14ac:dyDescent="0.25">
      <c r="A29" s="371" t="s">
        <v>31</v>
      </c>
      <c r="B29" s="372" t="s">
        <v>74</v>
      </c>
      <c r="C29" s="373" t="s">
        <v>75</v>
      </c>
      <c r="D29" s="370">
        <f>VLOOKUP(A29,ACCESS!A:N,14,FALSE)</f>
        <v>-3764</v>
      </c>
      <c r="E29" s="370">
        <v>-2604.34</v>
      </c>
      <c r="F29" s="370">
        <v>-3732</v>
      </c>
      <c r="G29" s="370">
        <v>-4040</v>
      </c>
      <c r="H29" s="370">
        <v>-2635</v>
      </c>
      <c r="I29" s="370">
        <v>-3802.8</v>
      </c>
      <c r="J29" s="370">
        <v>-1337</v>
      </c>
      <c r="K29" s="370">
        <v>-4248.3599999999997</v>
      </c>
      <c r="L29" s="370">
        <v>-2735</v>
      </c>
      <c r="M29" s="370">
        <v>-775</v>
      </c>
      <c r="N29" s="370">
        <v>-1567</v>
      </c>
      <c r="O29" s="374">
        <v>-775</v>
      </c>
      <c r="P29" s="370">
        <v>-1261.26</v>
      </c>
      <c r="Q29" s="375"/>
      <c r="R29" s="375" t="e">
        <f>#REF!-D29</f>
        <v>#REF!</v>
      </c>
      <c r="S29" s="375"/>
      <c r="T29" s="375"/>
      <c r="U29" s="375"/>
      <c r="V29" s="375"/>
      <c r="W29" s="375"/>
      <c r="X29" s="377"/>
      <c r="Y29" s="377"/>
      <c r="Z29" s="377"/>
      <c r="AA29" s="377"/>
      <c r="AB29" s="377"/>
      <c r="AF29" s="389"/>
      <c r="AQ29" s="390" t="s">
        <v>76</v>
      </c>
      <c r="AR29" s="391">
        <v>-43021</v>
      </c>
      <c r="AS29" s="382"/>
    </row>
    <row r="30" spans="1:45" s="378" customFormat="1" x14ac:dyDescent="0.25">
      <c r="A30" s="371" t="s">
        <v>31</v>
      </c>
      <c r="B30" s="373" t="s">
        <v>77</v>
      </c>
      <c r="C30" s="373" t="s">
        <v>78</v>
      </c>
      <c r="D30" s="370">
        <f>VLOOKUP(A30,ALBANY!A:N,14,FALSE)</f>
        <v>-2096</v>
      </c>
      <c r="E30" s="370">
        <v>-1127.4899999999998</v>
      </c>
      <c r="F30" s="370">
        <v>-2113</v>
      </c>
      <c r="G30" s="370">
        <v>-2248.8000000000002</v>
      </c>
      <c r="H30" s="370">
        <v>-1145</v>
      </c>
      <c r="I30" s="370">
        <v>-16616.439999999999</v>
      </c>
      <c r="J30" s="370">
        <v>-14209</v>
      </c>
      <c r="K30" s="370">
        <v>-18296.919999999998</v>
      </c>
      <c r="L30" s="370">
        <v>-12673</v>
      </c>
      <c r="M30" s="370">
        <v>-12000</v>
      </c>
      <c r="N30" s="370">
        <v>-14367</v>
      </c>
      <c r="O30" s="374">
        <v>-12150</v>
      </c>
      <c r="P30" s="370">
        <v>-14523.46</v>
      </c>
      <c r="Q30" s="375"/>
      <c r="R30" s="375" t="e">
        <f>#REF!-D30</f>
        <v>#REF!</v>
      </c>
      <c r="S30" s="375"/>
      <c r="T30" s="375"/>
      <c r="U30" s="375"/>
      <c r="V30" s="375"/>
      <c r="W30" s="375"/>
      <c r="X30" s="377"/>
      <c r="Y30" s="377"/>
      <c r="Z30" s="377"/>
      <c r="AA30" s="377"/>
      <c r="AB30" s="377"/>
      <c r="AD30" s="391"/>
      <c r="AF30" s="389"/>
      <c r="AQ30" s="390" t="s">
        <v>79</v>
      </c>
      <c r="AR30" s="391">
        <v>-158348</v>
      </c>
      <c r="AS30" s="382"/>
    </row>
    <row r="31" spans="1:45" s="378" customFormat="1" x14ac:dyDescent="0.25">
      <c r="A31" s="371" t="s">
        <v>31</v>
      </c>
      <c r="B31" s="383" t="s">
        <v>80</v>
      </c>
      <c r="C31" s="373" t="s">
        <v>81</v>
      </c>
      <c r="D31" s="370">
        <f>VLOOKUP(A31,EDU!A:N,14,FALSE)</f>
        <v>-67098</v>
      </c>
      <c r="E31" s="370">
        <v>-62618.55</v>
      </c>
      <c r="F31" s="370">
        <v>-64146</v>
      </c>
      <c r="G31" s="370">
        <v>-64276</v>
      </c>
      <c r="H31" s="370">
        <v>-60834</v>
      </c>
      <c r="I31" s="370">
        <v>-105327.23017495003</v>
      </c>
      <c r="J31" s="370">
        <v>-83863</v>
      </c>
      <c r="K31" s="370">
        <v>-107936.80000000002</v>
      </c>
      <c r="L31" s="370">
        <v>-92878</v>
      </c>
      <c r="M31" s="370">
        <v>-88772.288560875546</v>
      </c>
      <c r="N31" s="370">
        <v>-61646</v>
      </c>
      <c r="O31" s="374">
        <v>-92514.130157099993</v>
      </c>
      <c r="P31" s="370">
        <v>-83515.45</v>
      </c>
      <c r="Q31" s="375"/>
      <c r="R31" s="375" t="e">
        <f>#REF!-D31</f>
        <v>#REF!</v>
      </c>
      <c r="S31" s="375"/>
      <c r="T31" s="375"/>
      <c r="U31" s="375"/>
      <c r="V31" s="375"/>
      <c r="W31" s="375"/>
      <c r="X31" s="377"/>
      <c r="Y31" s="377"/>
      <c r="Z31" s="377"/>
      <c r="AA31" s="377"/>
      <c r="AB31" s="377"/>
      <c r="AF31" s="389"/>
      <c r="AO31" s="378" t="s">
        <v>82</v>
      </c>
      <c r="AQ31" s="390" t="s">
        <v>83</v>
      </c>
      <c r="AR31" s="391">
        <v>4603</v>
      </c>
      <c r="AS31" s="382"/>
    </row>
    <row r="32" spans="1:45" s="378" customFormat="1" x14ac:dyDescent="0.25">
      <c r="A32" s="371" t="s">
        <v>31</v>
      </c>
      <c r="B32" s="373" t="s">
        <v>84</v>
      </c>
      <c r="C32" s="373" t="s">
        <v>85</v>
      </c>
      <c r="D32" s="370">
        <f>VLOOKUP($A$29,ENV!A:N,14,FALSE)</f>
        <v>-4588</v>
      </c>
      <c r="E32" s="370">
        <v>-3219.1099999999997</v>
      </c>
      <c r="F32" s="370">
        <v>-5000</v>
      </c>
      <c r="G32" s="370">
        <v>-3136</v>
      </c>
      <c r="H32" s="370">
        <v>-757</v>
      </c>
      <c r="I32" s="370">
        <v>-8066.84</v>
      </c>
      <c r="J32" s="370">
        <v>-7488</v>
      </c>
      <c r="K32" s="370">
        <v>-8066.84</v>
      </c>
      <c r="L32" s="370">
        <v>-6449</v>
      </c>
      <c r="M32" s="370">
        <v>-5130</v>
      </c>
      <c r="N32" s="370">
        <v>-4775</v>
      </c>
      <c r="O32" s="374">
        <v>-6130</v>
      </c>
      <c r="P32" s="370">
        <v>-3572.08</v>
      </c>
      <c r="Q32" s="375"/>
      <c r="R32" s="375" t="e">
        <f>#REF!-D32</f>
        <v>#REF!</v>
      </c>
      <c r="S32" s="375"/>
      <c r="T32" s="375"/>
      <c r="U32" s="375"/>
      <c r="V32" s="375"/>
      <c r="W32" s="375"/>
      <c r="X32" s="377"/>
      <c r="Y32" s="377"/>
      <c r="Z32" s="377"/>
      <c r="AA32" s="377"/>
      <c r="AB32" s="377"/>
      <c r="AE32" s="378" t="s">
        <v>86</v>
      </c>
      <c r="AF32" s="389"/>
      <c r="AQ32" s="390" t="s">
        <v>87</v>
      </c>
      <c r="AR32" s="391">
        <v>221511</v>
      </c>
      <c r="AS32" s="382"/>
    </row>
    <row r="33" spans="1:45" s="378" customFormat="1" ht="15.75" customHeight="1" x14ac:dyDescent="0.25">
      <c r="A33" s="371" t="s">
        <v>31</v>
      </c>
      <c r="B33" s="392" t="e">
        <f>+'[1]YTD Budget'!AH6</f>
        <v>#REF!</v>
      </c>
      <c r="C33" s="373" t="s">
        <v>88</v>
      </c>
      <c r="D33" s="370">
        <f>VLOOKUP(A33,ETHNO!A:N,14,FALSE)</f>
        <v>-3113.5</v>
      </c>
      <c r="E33" s="370">
        <v>-1249.7800000000002</v>
      </c>
      <c r="F33" s="370">
        <v>-2253.75</v>
      </c>
      <c r="G33" s="370">
        <v>-2172</v>
      </c>
      <c r="H33" s="370">
        <v>-378</v>
      </c>
      <c r="I33" s="370">
        <v>-11663</v>
      </c>
      <c r="J33" s="370">
        <v>-8024</v>
      </c>
      <c r="K33" s="370">
        <v>-13513</v>
      </c>
      <c r="L33" s="370">
        <v>-5622.01</v>
      </c>
      <c r="M33" s="370">
        <v>-15713</v>
      </c>
      <c r="N33" s="370">
        <v>-8905</v>
      </c>
      <c r="O33" s="374">
        <v>-14013</v>
      </c>
      <c r="P33" s="370">
        <v>-6594.74</v>
      </c>
      <c r="Q33" s="375"/>
      <c r="R33" s="375" t="e">
        <f>#REF!-D33</f>
        <v>#REF!</v>
      </c>
      <c r="S33" s="375"/>
      <c r="T33" s="375"/>
      <c r="U33" s="375"/>
      <c r="V33" s="375"/>
      <c r="W33" s="375"/>
      <c r="X33" s="377"/>
      <c r="Y33" s="377"/>
      <c r="Z33" s="377"/>
      <c r="AA33" s="377"/>
      <c r="AB33" s="377"/>
      <c r="AE33" s="378">
        <v>13960</v>
      </c>
      <c r="AF33" s="389"/>
      <c r="AQ33" s="390" t="s">
        <v>89</v>
      </c>
      <c r="AR33" s="391">
        <v>62467</v>
      </c>
      <c r="AS33" s="382"/>
    </row>
    <row r="34" spans="1:45" s="378" customFormat="1" x14ac:dyDescent="0.25">
      <c r="A34" s="371" t="s">
        <v>31</v>
      </c>
      <c r="B34" s="383" t="s">
        <v>90</v>
      </c>
      <c r="C34" s="373" t="s">
        <v>91</v>
      </c>
      <c r="D34" s="370">
        <f>VLOOKUP($A$30,ISS!A:N,14,FALSE)</f>
        <v>-16722.439999999999</v>
      </c>
      <c r="E34" s="370">
        <v>-6457.4500000000007</v>
      </c>
      <c r="F34" s="370">
        <v>-14930.439999999999</v>
      </c>
      <c r="G34" s="370">
        <v>-15089.439999999999</v>
      </c>
      <c r="H34" s="370">
        <v>-10624</v>
      </c>
      <c r="I34" s="370">
        <v>-1788.08</v>
      </c>
      <c r="J34" s="370">
        <v>-849</v>
      </c>
      <c r="K34" s="370">
        <v>-1873.36</v>
      </c>
      <c r="L34" s="370">
        <v>-1335</v>
      </c>
      <c r="M34" s="370">
        <v>-1500</v>
      </c>
      <c r="N34" s="370">
        <v>-103</v>
      </c>
      <c r="O34" s="374">
        <v>-1200</v>
      </c>
      <c r="P34" s="370">
        <v>-1901.43</v>
      </c>
      <c r="Q34" s="375"/>
      <c r="R34" s="375" t="e">
        <f>#REF!-D34</f>
        <v>#REF!</v>
      </c>
      <c r="S34" s="375"/>
      <c r="T34" s="375"/>
      <c r="U34" s="375"/>
      <c r="V34" s="375"/>
      <c r="W34" s="375"/>
      <c r="X34" s="377"/>
      <c r="Y34" s="377"/>
      <c r="Z34" s="377"/>
      <c r="AA34" s="377"/>
      <c r="AB34" s="377"/>
      <c r="AF34" s="389"/>
      <c r="AQ34" s="390" t="s">
        <v>92</v>
      </c>
      <c r="AR34" s="391">
        <v>-7167</v>
      </c>
      <c r="AS34" s="382"/>
    </row>
    <row r="35" spans="1:45" s="378" customFormat="1" x14ac:dyDescent="0.25">
      <c r="A35" s="371" t="s">
        <v>31</v>
      </c>
      <c r="B35" s="372" t="s">
        <v>93</v>
      </c>
      <c r="C35" s="373" t="s">
        <v>94</v>
      </c>
      <c r="D35" s="370">
        <f>VLOOKUP(A35,MASA!A:N,14,FALSE)</f>
        <v>-608</v>
      </c>
      <c r="E35" s="370">
        <v>-55</v>
      </c>
      <c r="F35" s="370">
        <v>-660</v>
      </c>
      <c r="G35" s="370">
        <v>-761</v>
      </c>
      <c r="H35" s="370">
        <v>-4</v>
      </c>
      <c r="I35" s="370">
        <v>-7063.08</v>
      </c>
      <c r="J35" s="370">
        <v>-305</v>
      </c>
      <c r="K35" s="370">
        <v>-10073.36</v>
      </c>
      <c r="L35" s="370">
        <v>-3659</v>
      </c>
      <c r="M35" s="370">
        <v>-9802</v>
      </c>
      <c r="N35" s="370">
        <v>-1885</v>
      </c>
      <c r="O35" s="374">
        <v>-9802</v>
      </c>
      <c r="P35" s="370">
        <v>-1140.9100000000001</v>
      </c>
      <c r="Q35" s="375"/>
      <c r="R35" s="375" t="e">
        <f>#REF!-D35</f>
        <v>#REF!</v>
      </c>
      <c r="S35" s="375"/>
      <c r="T35" s="375"/>
      <c r="U35" s="375"/>
      <c r="V35" s="375"/>
      <c r="W35" s="375"/>
      <c r="X35" s="377"/>
      <c r="Y35" s="377"/>
      <c r="Z35" s="377"/>
      <c r="AA35" s="377"/>
      <c r="AB35" s="377"/>
      <c r="AF35" s="389"/>
      <c r="AQ35" s="381"/>
      <c r="AR35" s="393">
        <f>SUM(AR24:AR34)</f>
        <v>261022.15000000002</v>
      </c>
      <c r="AS35" s="382"/>
    </row>
    <row r="36" spans="1:45" s="378" customFormat="1" x14ac:dyDescent="0.25">
      <c r="A36" s="371" t="s">
        <v>31</v>
      </c>
      <c r="B36" s="372" t="s">
        <v>95</v>
      </c>
      <c r="C36" s="373" t="s">
        <v>96</v>
      </c>
      <c r="D36" s="370">
        <f>VLOOKUP(A36,PSA!A:N,14,FALSE)</f>
        <v>-119033.52618818771</v>
      </c>
      <c r="E36" s="370">
        <v>-109306.53000000001</v>
      </c>
      <c r="F36" s="370">
        <v>-105751.32065434157</v>
      </c>
      <c r="G36" s="370">
        <v>-105298.30867077192</v>
      </c>
      <c r="H36" s="370">
        <v>-101632</v>
      </c>
      <c r="I36" s="370">
        <v>-3345.6000000000004</v>
      </c>
      <c r="J36" s="370">
        <v>-559</v>
      </c>
      <c r="K36" s="370">
        <v>-3843.36</v>
      </c>
      <c r="L36" s="370">
        <v>-386</v>
      </c>
      <c r="M36" s="370">
        <v>-3350</v>
      </c>
      <c r="N36" s="370">
        <v>-2603</v>
      </c>
      <c r="O36" s="374">
        <v>-3450</v>
      </c>
      <c r="P36" s="370">
        <v>-2415.88</v>
      </c>
      <c r="Q36" s="375"/>
      <c r="R36" s="375" t="e">
        <f>#REF!-D36</f>
        <v>#REF!</v>
      </c>
      <c r="S36" s="376"/>
      <c r="T36" s="375"/>
      <c r="U36" s="375"/>
      <c r="V36" s="375"/>
      <c r="W36" s="375"/>
      <c r="X36" s="377"/>
      <c r="Y36" s="377"/>
      <c r="Z36" s="377"/>
      <c r="AA36" s="377"/>
      <c r="AB36" s="377"/>
      <c r="AE36" s="379"/>
      <c r="AF36" s="379"/>
      <c r="AQ36" s="381"/>
      <c r="AR36" s="391" t="e">
        <f>#REF!</f>
        <v>#REF!</v>
      </c>
      <c r="AS36" s="382" t="s">
        <v>97</v>
      </c>
    </row>
    <row r="37" spans="1:45" s="378" customFormat="1" x14ac:dyDescent="0.25">
      <c r="A37" s="371" t="s">
        <v>31</v>
      </c>
      <c r="B37" s="372" t="s">
        <v>98</v>
      </c>
      <c r="C37" s="373" t="s">
        <v>84</v>
      </c>
      <c r="D37" s="370">
        <f>VLOOKUP(A37,PRIDE!A:N,14,FALSE)</f>
        <v>-4619</v>
      </c>
      <c r="E37" s="370">
        <v>-4475.9599999999991</v>
      </c>
      <c r="F37" s="370">
        <v>-4406</v>
      </c>
      <c r="G37" s="370">
        <v>-6354</v>
      </c>
      <c r="H37" s="370">
        <v>-6316</v>
      </c>
      <c r="I37" s="370">
        <v>-5440.4</v>
      </c>
      <c r="J37" s="370">
        <v>-4329</v>
      </c>
      <c r="K37" s="370">
        <v>-6640.4</v>
      </c>
      <c r="L37" s="370">
        <v>-3273</v>
      </c>
      <c r="M37" s="370">
        <v>-7300</v>
      </c>
      <c r="N37" s="370">
        <v>-3573</v>
      </c>
      <c r="O37" s="374">
        <v>-9700</v>
      </c>
      <c r="P37" s="370">
        <v>-6013.65</v>
      </c>
      <c r="Q37" s="375"/>
      <c r="R37" s="375" t="e">
        <f>#REF!-D37</f>
        <v>#REF!</v>
      </c>
      <c r="S37" s="376"/>
      <c r="T37" s="375"/>
      <c r="U37" s="375"/>
      <c r="V37" s="375"/>
      <c r="W37" s="375"/>
      <c r="X37" s="377"/>
      <c r="Y37" s="377"/>
      <c r="Z37" s="377"/>
      <c r="AA37" s="377"/>
      <c r="AB37" s="377"/>
      <c r="AE37" s="379">
        <v>-60497.18</v>
      </c>
      <c r="AF37" s="379"/>
      <c r="AG37" s="380" t="s">
        <v>99</v>
      </c>
      <c r="AH37" s="380">
        <v>-73749.53</v>
      </c>
      <c r="AQ37" s="381"/>
      <c r="AR37" s="379">
        <v>389834.22</v>
      </c>
      <c r="AS37" s="382"/>
    </row>
    <row r="38" spans="1:45" s="378" customFormat="1" x14ac:dyDescent="0.25">
      <c r="A38" s="371" t="s">
        <v>31</v>
      </c>
      <c r="B38" s="383" t="s">
        <v>100</v>
      </c>
      <c r="C38" s="373" t="s">
        <v>101</v>
      </c>
      <c r="D38" s="370">
        <f>VLOOKUP(A38,PAC!A:N,14,FALSE)</f>
        <v>-8322</v>
      </c>
      <c r="E38" s="370">
        <v>-5139.32</v>
      </c>
      <c r="F38" s="370">
        <v>-9402</v>
      </c>
      <c r="G38" s="370">
        <v>-9402</v>
      </c>
      <c r="H38" s="370">
        <v>-7436</v>
      </c>
      <c r="I38" s="370">
        <v>-9197.0799999999945</v>
      </c>
      <c r="J38" s="370">
        <v>-18712</v>
      </c>
      <c r="K38" s="370">
        <v>-9197.0839999999953</v>
      </c>
      <c r="L38" s="370">
        <v>-27261</v>
      </c>
      <c r="M38" s="370">
        <v>-10320</v>
      </c>
      <c r="N38" s="370">
        <v>-9095</v>
      </c>
      <c r="O38" s="374">
        <v>-13120</v>
      </c>
      <c r="P38" s="370">
        <v>-4091.01</v>
      </c>
      <c r="Q38" s="375"/>
      <c r="R38" s="375" t="e">
        <f>#REF!-D38</f>
        <v>#REF!</v>
      </c>
      <c r="S38" s="376"/>
      <c r="T38" s="375"/>
      <c r="U38" s="375"/>
      <c r="V38" s="375"/>
      <c r="W38" s="375"/>
      <c r="X38" s="377"/>
      <c r="Y38" s="377"/>
      <c r="Z38" s="377"/>
      <c r="AA38" s="377"/>
      <c r="AB38" s="377"/>
      <c r="AE38" s="379">
        <v>-13252.35</v>
      </c>
      <c r="AF38" s="379" t="s">
        <v>97</v>
      </c>
      <c r="AH38" s="384">
        <f>AH37-AE38</f>
        <v>-60497.18</v>
      </c>
      <c r="AO38" s="378" t="s">
        <v>102</v>
      </c>
      <c r="AQ38" s="385"/>
      <c r="AR38" s="386"/>
      <c r="AS38" s="387"/>
    </row>
    <row r="39" spans="1:45" s="378" customFormat="1" x14ac:dyDescent="0.25">
      <c r="A39" s="371" t="s">
        <v>31</v>
      </c>
      <c r="B39" s="388" t="s">
        <v>103</v>
      </c>
      <c r="C39" s="373" t="s">
        <v>104</v>
      </c>
      <c r="D39" s="370">
        <f>VLOOKUP(A39,RSD!A:N,14,FALSE)</f>
        <v>-10594</v>
      </c>
      <c r="E39" s="370">
        <v>-14196.559999999998</v>
      </c>
      <c r="F39" s="370">
        <v>-9686</v>
      </c>
      <c r="G39" s="370">
        <v>-9186</v>
      </c>
      <c r="H39" s="370">
        <v>-1878</v>
      </c>
      <c r="I39" s="370">
        <v>-4130.1999999999989</v>
      </c>
      <c r="J39" s="370">
        <v>-3080</v>
      </c>
      <c r="K39" s="370">
        <v>-4570.2</v>
      </c>
      <c r="L39" s="370">
        <v>-2622</v>
      </c>
      <c r="M39" s="370">
        <v>-4720</v>
      </c>
      <c r="N39" s="370">
        <v>-1193</v>
      </c>
      <c r="O39" s="374">
        <v>-5300</v>
      </c>
      <c r="P39" s="370">
        <v>-1044.74</v>
      </c>
      <c r="Q39" s="375"/>
      <c r="R39" s="375" t="e">
        <f>#REF!-D39</f>
        <v>#REF!</v>
      </c>
      <c r="S39" s="376"/>
      <c r="T39" s="375"/>
      <c r="U39" s="375"/>
      <c r="V39" s="375"/>
      <c r="W39" s="375"/>
      <c r="X39" s="377"/>
      <c r="Y39" s="377"/>
      <c r="Z39" s="377"/>
      <c r="AA39" s="377"/>
      <c r="AB39" s="377"/>
      <c r="AE39" s="379"/>
      <c r="AF39" s="379"/>
      <c r="AH39" s="384"/>
      <c r="AQ39" s="379"/>
      <c r="AR39" s="379"/>
      <c r="AS39" s="379"/>
    </row>
    <row r="40" spans="1:45" s="379" customFormat="1" x14ac:dyDescent="0.25">
      <c r="A40" s="395" t="s">
        <v>31</v>
      </c>
      <c r="B40" s="388" t="s">
        <v>105</v>
      </c>
      <c r="C40" s="373" t="s">
        <v>106</v>
      </c>
      <c r="D40" s="370">
        <f>VLOOKUP(A40,SOC!A:N,14,FALSE)-D41</f>
        <v>-27113.5</v>
      </c>
      <c r="E40" s="370">
        <v>17310.880000000012</v>
      </c>
      <c r="F40" s="370">
        <v>-11510.5</v>
      </c>
      <c r="G40" s="370">
        <v>-11062</v>
      </c>
      <c r="H40" s="370">
        <f>-139045-H39</f>
        <v>-137167</v>
      </c>
      <c r="I40" s="370">
        <v>-10416.92</v>
      </c>
      <c r="J40" s="370">
        <v>-4710</v>
      </c>
      <c r="K40" s="370">
        <v>-12116.92</v>
      </c>
      <c r="L40" s="370">
        <v>-9644</v>
      </c>
      <c r="M40" s="370">
        <v>-12560</v>
      </c>
      <c r="N40" s="370">
        <v>-11301</v>
      </c>
      <c r="O40" s="374">
        <v>-12560</v>
      </c>
      <c r="P40" s="370">
        <v>-7788.04</v>
      </c>
      <c r="Q40" s="375"/>
      <c r="R40" s="375" t="e">
        <f>#REF!-D40</f>
        <v>#REF!</v>
      </c>
      <c r="S40" s="376"/>
      <c r="T40" s="375"/>
      <c r="U40" s="375"/>
      <c r="V40" s="375"/>
      <c r="W40" s="375"/>
      <c r="X40" s="377"/>
      <c r="Y40" s="377"/>
      <c r="Z40" s="377"/>
      <c r="AA40" s="377"/>
      <c r="AB40" s="377"/>
    </row>
    <row r="41" spans="1:45" s="378" customFormat="1" x14ac:dyDescent="0.25">
      <c r="A41" s="395" t="s">
        <v>107</v>
      </c>
      <c r="B41" s="373" t="s">
        <v>77</v>
      </c>
      <c r="C41" s="373" t="s">
        <v>108</v>
      </c>
      <c r="D41" s="370">
        <f>-VLOOKUP(A41,SOC!A:N,14,FALSE)</f>
        <v>-140000</v>
      </c>
      <c r="E41" s="370">
        <v>-155000</v>
      </c>
      <c r="F41" s="370">
        <v>-140000</v>
      </c>
      <c r="G41" s="370">
        <v>-137000</v>
      </c>
      <c r="H41" s="370">
        <v>-128435</v>
      </c>
      <c r="I41" s="370">
        <v>-2753.3599999999997</v>
      </c>
      <c r="J41" s="370">
        <v>-1682</v>
      </c>
      <c r="K41" s="370">
        <v>-2153.3599999999997</v>
      </c>
      <c r="L41" s="370">
        <v>-1019</v>
      </c>
      <c r="M41" s="370">
        <v>0</v>
      </c>
      <c r="N41" s="370">
        <v>-1060</v>
      </c>
      <c r="O41" s="370">
        <v>0</v>
      </c>
      <c r="P41" s="370">
        <v>0</v>
      </c>
      <c r="Q41" s="375"/>
      <c r="R41" s="375" t="e">
        <f>#REF!-D41</f>
        <v>#REF!</v>
      </c>
      <c r="S41" s="375"/>
      <c r="T41" s="375"/>
      <c r="U41" s="375"/>
      <c r="V41" s="375"/>
      <c r="W41" s="375"/>
      <c r="X41" s="377"/>
      <c r="Y41" s="377"/>
      <c r="Z41" s="377"/>
      <c r="AA41" s="377"/>
      <c r="AB41" s="377"/>
      <c r="AD41" s="391"/>
      <c r="AF41" s="389"/>
      <c r="AQ41" s="390"/>
      <c r="AR41" s="391"/>
      <c r="AS41" s="382"/>
    </row>
    <row r="42" spans="1:45" s="396" customFormat="1" ht="15" customHeight="1" x14ac:dyDescent="0.25">
      <c r="A42" s="395" t="s">
        <v>31</v>
      </c>
      <c r="B42" s="388" t="s">
        <v>109</v>
      </c>
      <c r="C42" s="373" t="s">
        <v>110</v>
      </c>
      <c r="D42" s="370">
        <f>VLOOKUP(A42,SPORTS!A:N,14,FALSE)</f>
        <v>-3324</v>
      </c>
      <c r="E42" s="370">
        <v>-286.62</v>
      </c>
      <c r="F42" s="370">
        <v>-3566</v>
      </c>
      <c r="G42" s="370">
        <v>-3956</v>
      </c>
      <c r="H42" s="370">
        <v>-550</v>
      </c>
      <c r="I42" s="370">
        <v>-112000</v>
      </c>
      <c r="J42" s="370">
        <v>-81441</v>
      </c>
      <c r="K42" s="370">
        <v>-121000</v>
      </c>
      <c r="L42" s="370">
        <v>-125633</v>
      </c>
      <c r="M42" s="370">
        <v>-122600</v>
      </c>
      <c r="N42" s="370">
        <v>-130128</v>
      </c>
      <c r="O42" s="374">
        <v>-121000</v>
      </c>
      <c r="P42" s="370">
        <v>-100634.82</v>
      </c>
      <c r="Q42" s="375"/>
      <c r="R42" s="375" t="e">
        <f>#REF!-D42</f>
        <v>#REF!</v>
      </c>
      <c r="S42" s="375"/>
      <c r="T42" s="375"/>
      <c r="U42" s="375"/>
      <c r="V42" s="375"/>
      <c r="W42" s="375"/>
      <c r="X42" s="377"/>
      <c r="Y42" s="377"/>
      <c r="Z42" s="377"/>
      <c r="AA42" s="377"/>
      <c r="AB42" s="377"/>
    </row>
    <row r="43" spans="1:45" s="396" customFormat="1" ht="15.75" x14ac:dyDescent="0.25">
      <c r="A43" s="395" t="s">
        <v>31</v>
      </c>
      <c r="B43" s="388" t="s">
        <v>109</v>
      </c>
      <c r="C43" s="373" t="s">
        <v>93</v>
      </c>
      <c r="D43" s="370">
        <f>VLOOKUP(A43,WASAC!A:N,14,FALSE)</f>
        <v>-3664</v>
      </c>
      <c r="E43" s="370">
        <v>-275.36</v>
      </c>
      <c r="F43" s="370">
        <v>-3580</v>
      </c>
      <c r="G43" s="370">
        <v>-3580</v>
      </c>
      <c r="H43" s="370">
        <v>-190</v>
      </c>
      <c r="I43" s="370">
        <v>-11860</v>
      </c>
      <c r="J43" s="370">
        <f>-93542.57-J42</f>
        <v>-12101.570000000007</v>
      </c>
      <c r="K43" s="370">
        <v>-10588.890000000014</v>
      </c>
      <c r="L43" s="370">
        <f>-136393-L42</f>
        <v>-10760</v>
      </c>
      <c r="M43" s="370">
        <v>-9660</v>
      </c>
      <c r="N43" s="370">
        <v>-6465</v>
      </c>
      <c r="O43" s="374">
        <v>-12400</v>
      </c>
      <c r="P43" s="370">
        <f>-110360.58-P42</f>
        <v>-9725.7599999999948</v>
      </c>
      <c r="Q43" s="375"/>
      <c r="R43" s="375" t="e">
        <f>#REF!-D43</f>
        <v>#REF!</v>
      </c>
      <c r="S43" s="375"/>
      <c r="T43" s="397"/>
      <c r="U43" s="375"/>
      <c r="V43" s="375"/>
      <c r="W43" s="375"/>
      <c r="X43" s="377"/>
      <c r="Y43" s="377"/>
      <c r="Z43" s="377"/>
      <c r="AA43" s="377"/>
      <c r="AB43" s="377"/>
    </row>
    <row r="44" spans="1:45" s="378" customFormat="1" x14ac:dyDescent="0.25">
      <c r="A44" s="395" t="s">
        <v>31</v>
      </c>
      <c r="B44" s="388" t="s">
        <v>111</v>
      </c>
      <c r="C44" s="373" t="s">
        <v>112</v>
      </c>
      <c r="D44" s="370">
        <f>VLOOKUP(A44,WELLBEING!A:N,14,FALSE)</f>
        <v>-4807</v>
      </c>
      <c r="E44" s="370">
        <v>-4462.6400000000003</v>
      </c>
      <c r="F44" s="370">
        <v>-4900</v>
      </c>
      <c r="G44" s="370">
        <v>-5036</v>
      </c>
      <c r="H44" s="370">
        <v>-3318</v>
      </c>
      <c r="I44" s="370">
        <v>-64763</v>
      </c>
      <c r="J44" s="370">
        <v>-49004</v>
      </c>
      <c r="K44" s="370">
        <v>-70163</v>
      </c>
      <c r="L44" s="370">
        <v>-64477</v>
      </c>
      <c r="M44" s="370">
        <v>-70366.44</v>
      </c>
      <c r="N44" s="370">
        <v>-60627</v>
      </c>
      <c r="O44" s="374">
        <v>-69816.44</v>
      </c>
      <c r="P44" s="370">
        <v>-3659.73</v>
      </c>
      <c r="Q44" s="375"/>
      <c r="R44" s="375" t="e">
        <f>#REF!-D44</f>
        <v>#REF!</v>
      </c>
      <c r="S44" s="375"/>
      <c r="T44" s="375"/>
      <c r="U44" s="375"/>
      <c r="V44" s="375"/>
      <c r="W44" s="375"/>
      <c r="X44" s="377"/>
      <c r="Y44" s="377"/>
      <c r="Z44" s="377"/>
      <c r="AA44" s="377"/>
      <c r="AB44" s="377"/>
      <c r="AD44" s="384"/>
      <c r="AF44" s="384"/>
    </row>
    <row r="45" spans="1:45" s="378" customFormat="1" x14ac:dyDescent="0.25">
      <c r="A45" s="395" t="s">
        <v>31</v>
      </c>
      <c r="B45" s="388" t="s">
        <v>113</v>
      </c>
      <c r="C45" s="373" t="s">
        <v>114</v>
      </c>
      <c r="D45" s="370">
        <f>VLOOKUP(A45,WOMENS!A:N,14,FALSE)</f>
        <v>-8580</v>
      </c>
      <c r="E45" s="370">
        <v>-8515.84</v>
      </c>
      <c r="F45" s="370">
        <v>-8524</v>
      </c>
      <c r="G45" s="370">
        <v>-9280</v>
      </c>
      <c r="H45" s="370">
        <v>-2125</v>
      </c>
      <c r="I45" s="370">
        <v>-4348.08</v>
      </c>
      <c r="J45" s="370">
        <v>-3601</v>
      </c>
      <c r="K45" s="370">
        <v>-4058.36</v>
      </c>
      <c r="L45" s="370">
        <v>-3124</v>
      </c>
      <c r="M45" s="370">
        <v>-4300</v>
      </c>
      <c r="N45" s="370">
        <v>-1086</v>
      </c>
      <c r="O45" s="374">
        <v>-4500</v>
      </c>
      <c r="P45" s="370">
        <v>-500</v>
      </c>
      <c r="Q45" s="375">
        <f>SUM(D24:D45)</f>
        <v>-1095216.3652041948</v>
      </c>
      <c r="R45" s="375" t="e">
        <f>#REF!-D45</f>
        <v>#REF!</v>
      </c>
      <c r="S45" s="375">
        <f>SUM(F24:F45)</f>
        <v>-975882.69545855839</v>
      </c>
      <c r="T45" s="398">
        <f>Q45/S45</f>
        <v>1.1222828013048869</v>
      </c>
      <c r="U45" s="375"/>
      <c r="V45" s="375"/>
      <c r="W45" s="375"/>
      <c r="X45" s="377"/>
      <c r="Y45" s="377"/>
      <c r="Z45" s="377"/>
      <c r="AA45" s="377"/>
      <c r="AB45" s="377"/>
    </row>
    <row r="46" spans="1:45" s="24" customFormat="1" x14ac:dyDescent="0.25">
      <c r="A46" s="74"/>
      <c r="B46" s="73"/>
      <c r="C46" s="7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0"/>
      <c r="P46" s="26"/>
      <c r="Q46" s="30"/>
      <c r="R46" s="30"/>
      <c r="S46" s="30"/>
      <c r="T46" s="30"/>
      <c r="U46" s="30"/>
      <c r="V46" s="30"/>
      <c r="W46" s="30"/>
      <c r="X46" s="31"/>
      <c r="Y46" s="31"/>
      <c r="Z46" s="31"/>
      <c r="AA46" s="31"/>
      <c r="AB46" s="31"/>
    </row>
    <row r="47" spans="1:45" s="24" customFormat="1" x14ac:dyDescent="0.25">
      <c r="A47" s="18"/>
      <c r="B47" s="19"/>
      <c r="C47" s="21" t="s">
        <v>115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40"/>
      <c r="P47" s="40"/>
      <c r="Q47" s="30"/>
      <c r="R47" s="30"/>
      <c r="S47" s="30"/>
      <c r="T47" s="30"/>
      <c r="U47" s="30"/>
      <c r="V47" s="30"/>
      <c r="W47" s="30"/>
      <c r="X47" s="31"/>
      <c r="Y47" s="31"/>
      <c r="Z47" s="31"/>
      <c r="AA47" s="31"/>
      <c r="AB47" s="31"/>
    </row>
    <row r="48" spans="1:45" s="378" customFormat="1" x14ac:dyDescent="0.25">
      <c r="A48" s="371" t="s">
        <v>31</v>
      </c>
      <c r="B48" s="388" t="s">
        <v>116</v>
      </c>
      <c r="C48" s="373" t="s">
        <v>117</v>
      </c>
      <c r="D48" s="370">
        <f>VLOOKUP(A48,SA!A:N,14,0)</f>
        <v>-593888.5</v>
      </c>
      <c r="E48" s="370">
        <v>-491869.52000000008</v>
      </c>
      <c r="F48" s="370">
        <v>-554772.02881808951</v>
      </c>
      <c r="G48" s="370">
        <v>-511931.30354582041</v>
      </c>
      <c r="H48" s="370">
        <v>-450511</v>
      </c>
      <c r="I48" s="370">
        <v>-495155.94594429282</v>
      </c>
      <c r="J48" s="370">
        <v>-461828</v>
      </c>
      <c r="K48" s="370">
        <v>-523878.98720371886</v>
      </c>
      <c r="L48" s="370">
        <v>-452008</v>
      </c>
      <c r="M48" s="370">
        <v>-375344.91531272605</v>
      </c>
      <c r="N48" s="370">
        <v>-243717</v>
      </c>
      <c r="O48" s="374">
        <v>-460940.05208419519</v>
      </c>
      <c r="P48" s="370">
        <v>-286853.17</v>
      </c>
      <c r="Q48" s="375"/>
      <c r="R48" s="375"/>
      <c r="S48" s="375"/>
      <c r="T48" s="375"/>
      <c r="U48" s="375"/>
      <c r="V48" s="375"/>
      <c r="W48" s="375"/>
      <c r="X48" s="377"/>
      <c r="Y48" s="377"/>
      <c r="Z48" s="377"/>
      <c r="AA48" s="377"/>
      <c r="AB48" s="377"/>
    </row>
    <row r="49" spans="1:45" s="378" customFormat="1" x14ac:dyDescent="0.25">
      <c r="A49" s="371" t="s">
        <v>31</v>
      </c>
      <c r="B49" s="388" t="s">
        <v>118</v>
      </c>
      <c r="C49" s="373" t="s">
        <v>119</v>
      </c>
      <c r="D49" s="370">
        <f>VLOOKUP(A48,EVENTS!A:N,14,FALSE)</f>
        <v>-334873.64999999997</v>
      </c>
      <c r="E49" s="370">
        <v>-271812.90000000002</v>
      </c>
      <c r="F49" s="370">
        <v>-340778.89283799409</v>
      </c>
      <c r="G49" s="370">
        <v>-299557.45500470273</v>
      </c>
      <c r="H49" s="370">
        <v>-260823</v>
      </c>
      <c r="I49" s="370">
        <v>-290111.51975720294</v>
      </c>
      <c r="J49" s="370">
        <v>-213728</v>
      </c>
      <c r="K49" s="370">
        <v>-287167.62614134478</v>
      </c>
      <c r="L49" s="370">
        <v>-255265</v>
      </c>
      <c r="M49" s="370">
        <v>-260530.02438163524</v>
      </c>
      <c r="N49" s="370">
        <v>-132650</v>
      </c>
      <c r="O49" s="374">
        <v>-276954.08674257825</v>
      </c>
      <c r="P49" s="370">
        <v>-243088.56</v>
      </c>
      <c r="Q49" s="375"/>
      <c r="R49" s="375"/>
      <c r="S49" s="375"/>
      <c r="T49" s="375"/>
      <c r="U49" s="375"/>
      <c r="V49" s="375"/>
      <c r="W49" s="375"/>
      <c r="X49" s="377"/>
      <c r="Y49" s="377"/>
      <c r="Z49" s="377"/>
      <c r="AA49" s="377"/>
      <c r="AB49" s="377"/>
    </row>
    <row r="50" spans="1:45" s="378" customFormat="1" x14ac:dyDescent="0.25">
      <c r="A50" s="371" t="s">
        <v>31</v>
      </c>
      <c r="B50" s="388" t="s">
        <v>120</v>
      </c>
      <c r="C50" s="373" t="s">
        <v>120</v>
      </c>
      <c r="D50" s="370">
        <f>VLOOKUP(A50,GSC!1:1048576,14,FALSE)</f>
        <v>-177707.26626241725</v>
      </c>
      <c r="E50" s="370">
        <v>-130994.30000000003</v>
      </c>
      <c r="F50" s="370">
        <v>-225197.18484160182</v>
      </c>
      <c r="G50" s="399">
        <v>0</v>
      </c>
      <c r="H50" s="370">
        <v>-24245</v>
      </c>
      <c r="I50" s="399">
        <v>0</v>
      </c>
      <c r="J50" s="399">
        <v>0</v>
      </c>
      <c r="K50" s="399">
        <v>0</v>
      </c>
      <c r="L50" s="399">
        <v>0</v>
      </c>
      <c r="M50" s="399">
        <v>0</v>
      </c>
      <c r="N50" s="399">
        <v>0</v>
      </c>
      <c r="O50" s="374"/>
      <c r="P50" s="370"/>
      <c r="Q50" s="375"/>
      <c r="R50" s="375"/>
      <c r="S50" s="375"/>
      <c r="T50" s="375"/>
      <c r="U50" s="375"/>
      <c r="V50" s="375"/>
      <c r="W50" s="375"/>
      <c r="X50" s="377"/>
      <c r="Y50" s="377"/>
      <c r="Z50" s="377"/>
      <c r="AA50" s="377"/>
      <c r="AB50" s="377"/>
    </row>
    <row r="51" spans="1:45" s="378" customFormat="1" x14ac:dyDescent="0.25">
      <c r="A51" s="371" t="s">
        <v>31</v>
      </c>
      <c r="B51" s="388" t="s">
        <v>121</v>
      </c>
      <c r="C51" s="373" t="s">
        <v>122</v>
      </c>
      <c r="D51" s="370">
        <f>VLOOKUP(A51,MKTG!A:N,14,FALSE)</f>
        <v>-278733.20999999996</v>
      </c>
      <c r="E51" s="370">
        <v>-191964.55</v>
      </c>
      <c r="F51" s="370">
        <v>-157979.13050633069</v>
      </c>
      <c r="G51" s="370">
        <v>-333917.10865748778</v>
      </c>
      <c r="H51" s="370">
        <v>-289742</v>
      </c>
      <c r="I51" s="370">
        <v>-278578.84380427666</v>
      </c>
      <c r="J51" s="370">
        <v>-274856</v>
      </c>
      <c r="K51" s="370">
        <v>-220594.32006486948</v>
      </c>
      <c r="L51" s="370">
        <v>-221123</v>
      </c>
      <c r="M51" s="370">
        <v>-202269.0148432877</v>
      </c>
      <c r="N51" s="370">
        <v>-115451</v>
      </c>
      <c r="O51" s="374">
        <v>-255773.39700755477</v>
      </c>
      <c r="P51" s="370">
        <v>-212353.55</v>
      </c>
      <c r="Q51" s="375"/>
      <c r="R51" s="375"/>
      <c r="S51" s="375"/>
      <c r="T51" s="375"/>
      <c r="U51" s="375"/>
      <c r="V51" s="375"/>
      <c r="W51" s="375"/>
      <c r="X51" s="377"/>
      <c r="Y51" s="377"/>
      <c r="Z51" s="377"/>
      <c r="AA51" s="377"/>
      <c r="AB51" s="377"/>
    </row>
    <row r="52" spans="1:45" s="378" customFormat="1" ht="15.75" customHeight="1" x14ac:dyDescent="0.25">
      <c r="A52" s="371" t="s">
        <v>31</v>
      </c>
      <c r="B52" s="388" t="s">
        <v>123</v>
      </c>
      <c r="C52" s="373" t="s">
        <v>124</v>
      </c>
      <c r="D52" s="370">
        <f>VLOOKUP(A52,CREATIVE!A:N,14,FALSE)</f>
        <v>-163560.67000000001</v>
      </c>
      <c r="E52" s="370">
        <v>-150024.97999999998</v>
      </c>
      <c r="F52" s="370">
        <v>-149085.56708344605</v>
      </c>
      <c r="G52" s="370">
        <v>-204465.00133794147</v>
      </c>
      <c r="H52" s="370">
        <v>-134692</v>
      </c>
      <c r="I52" s="370">
        <v>-162101.32325463273</v>
      </c>
      <c r="J52" s="370">
        <v>-136870</v>
      </c>
      <c r="K52" s="370">
        <v>-184349.60815069996</v>
      </c>
      <c r="L52" s="370">
        <v>-108143</v>
      </c>
      <c r="M52" s="370">
        <v>-148735.7862439875</v>
      </c>
      <c r="N52" s="370">
        <v>-74059</v>
      </c>
      <c r="O52" s="374">
        <v>-128283.80704079483</v>
      </c>
      <c r="P52" s="370">
        <v>-207239.55</v>
      </c>
      <c r="Q52" s="375"/>
      <c r="R52" s="375"/>
      <c r="S52" s="375"/>
      <c r="T52" s="375"/>
      <c r="U52" s="375"/>
      <c r="V52" s="375"/>
      <c r="W52" s="375"/>
      <c r="X52" s="377"/>
      <c r="Y52" s="377"/>
      <c r="Z52" s="377"/>
      <c r="AA52" s="377"/>
      <c r="AB52" s="377"/>
    </row>
    <row r="53" spans="1:45" s="378" customFormat="1" x14ac:dyDescent="0.25">
      <c r="A53" s="371" t="s">
        <v>31</v>
      </c>
      <c r="B53" s="388" t="s">
        <v>125</v>
      </c>
      <c r="C53" s="400" t="s">
        <v>126</v>
      </c>
      <c r="D53" s="370">
        <f>VLOOKUP(A53,VOL!A:N,14,FALSE)</f>
        <v>-266062.58</v>
      </c>
      <c r="E53" s="370">
        <v>-211855.66</v>
      </c>
      <c r="F53" s="370">
        <v>-255105.83862043073</v>
      </c>
      <c r="G53" s="370">
        <v>-231999.63675937222</v>
      </c>
      <c r="H53" s="370">
        <v>-210410</v>
      </c>
      <c r="I53" s="370">
        <v>-229107.57362683464</v>
      </c>
      <c r="J53" s="370">
        <v>-212330</v>
      </c>
      <c r="K53" s="370">
        <v>-211494.07912405825</v>
      </c>
      <c r="L53" s="370">
        <v>-197428</v>
      </c>
      <c r="M53" s="370">
        <v>-212075.66203674761</v>
      </c>
      <c r="N53" s="370">
        <v>-131322</v>
      </c>
      <c r="O53" s="374">
        <v>-216285.79645562798</v>
      </c>
      <c r="P53" s="370">
        <v>-168499.76</v>
      </c>
      <c r="Q53" s="375"/>
      <c r="R53" s="375"/>
      <c r="S53" s="375"/>
      <c r="T53" s="375"/>
      <c r="U53" s="375"/>
      <c r="V53" s="375"/>
      <c r="W53" s="375"/>
      <c r="X53" s="377"/>
      <c r="Y53" s="377"/>
      <c r="Z53" s="377"/>
      <c r="AA53" s="377"/>
      <c r="AB53" s="377"/>
    </row>
    <row r="54" spans="1:45" s="378" customFormat="1" x14ac:dyDescent="0.25">
      <c r="A54" s="371" t="s">
        <v>31</v>
      </c>
      <c r="B54" s="373" t="s">
        <v>77</v>
      </c>
      <c r="C54" s="373" t="s">
        <v>127</v>
      </c>
      <c r="D54" s="370">
        <f>VLOOKUP(A54,'STU INNOV'!A:N,14,FALSE)</f>
        <v>-138305.60980155726</v>
      </c>
      <c r="E54" s="370">
        <v>-146803.39000000001</v>
      </c>
      <c r="F54" s="370">
        <v>-110484.02458843973</v>
      </c>
      <c r="G54" s="370">
        <v>-119601.9779725672</v>
      </c>
      <c r="H54" s="370">
        <v>-151681</v>
      </c>
      <c r="I54" s="370">
        <v>-112584.77554565693</v>
      </c>
      <c r="J54" s="370">
        <v>-90329</v>
      </c>
      <c r="K54" s="370">
        <v>-139694.40847340005</v>
      </c>
      <c r="L54" s="370">
        <v>-117470</v>
      </c>
      <c r="M54" s="370">
        <v>0</v>
      </c>
      <c r="N54" s="370">
        <v>-42630</v>
      </c>
      <c r="O54" s="370">
        <v>0</v>
      </c>
      <c r="P54" s="370">
        <v>0</v>
      </c>
      <c r="Q54" s="375"/>
      <c r="R54" s="375"/>
      <c r="S54" s="375"/>
      <c r="T54" s="375"/>
      <c r="U54" s="375"/>
      <c r="V54" s="375"/>
      <c r="W54" s="375"/>
      <c r="X54" s="377"/>
      <c r="Y54" s="377"/>
      <c r="Z54" s="377"/>
      <c r="AA54" s="377"/>
      <c r="AB54" s="377"/>
      <c r="AD54" s="391"/>
      <c r="AF54" s="389"/>
      <c r="AQ54" s="390"/>
      <c r="AR54" s="391"/>
      <c r="AS54" s="382"/>
    </row>
    <row r="55" spans="1:45" s="46" customFormat="1" x14ac:dyDescent="0.25">
      <c r="A55" s="55"/>
      <c r="B55" s="56"/>
      <c r="C55" s="21" t="s">
        <v>128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40"/>
      <c r="P55" s="40"/>
      <c r="Q55" s="30"/>
      <c r="R55" s="30"/>
      <c r="S55" s="30"/>
      <c r="T55" s="30"/>
      <c r="U55" s="30"/>
      <c r="V55" s="30"/>
      <c r="W55" s="30"/>
      <c r="X55" s="31"/>
      <c r="Y55" s="31"/>
      <c r="Z55" s="31"/>
      <c r="AA55" s="31"/>
      <c r="AB55" s="31"/>
    </row>
    <row r="56" spans="1:45" customFormat="1" ht="15.75" x14ac:dyDescent="0.25">
      <c r="A56" s="77" t="s">
        <v>31</v>
      </c>
      <c r="B56" s="41" t="s">
        <v>129</v>
      </c>
      <c r="C56" s="22" t="s">
        <v>130</v>
      </c>
      <c r="D56" s="26">
        <f>VLOOKUP(A56,ADMIN!A:N,14,FALSE)</f>
        <v>-682991.91</v>
      </c>
      <c r="E56" s="26">
        <v>-674032.39000000013</v>
      </c>
      <c r="F56" s="26">
        <v>-743759.63018478639</v>
      </c>
      <c r="G56" s="26">
        <v>-699015.73080733453</v>
      </c>
      <c r="H56" s="26">
        <v>-623488</v>
      </c>
      <c r="I56" s="26">
        <v>-620694.43036411167</v>
      </c>
      <c r="J56" s="26">
        <v>-580874</v>
      </c>
      <c r="K56" s="26">
        <v>-579879.3174670313</v>
      </c>
      <c r="L56" s="26">
        <v>-527650</v>
      </c>
      <c r="M56" s="26">
        <v>-558886.94138687255</v>
      </c>
      <c r="N56" s="26">
        <v>-363647</v>
      </c>
      <c r="O56" s="20">
        <v>-559072.63888831041</v>
      </c>
      <c r="P56" s="26">
        <v>-444652.04</v>
      </c>
      <c r="Q56" s="30"/>
      <c r="R56" s="30"/>
      <c r="S56" s="30"/>
      <c r="T56" s="30"/>
      <c r="U56" s="30"/>
      <c r="V56" s="30"/>
      <c r="W56" s="30"/>
      <c r="X56" s="31"/>
      <c r="Y56" s="31"/>
      <c r="Z56" s="31"/>
      <c r="AA56" s="31"/>
      <c r="AB56" s="31"/>
    </row>
    <row r="57" spans="1:45" s="403" customFormat="1" ht="15.75" x14ac:dyDescent="0.25">
      <c r="A57" s="401" t="s">
        <v>31</v>
      </c>
      <c r="B57" s="402" t="s">
        <v>131</v>
      </c>
      <c r="C57" s="400" t="s">
        <v>132</v>
      </c>
      <c r="D57" s="370">
        <f>VLOOKUP(A57,FINANCE!A:N,14,FALSE)</f>
        <v>-674596.53</v>
      </c>
      <c r="E57" s="370">
        <v>-592335.32999999996</v>
      </c>
      <c r="F57" s="370">
        <v>-594469.06350377784</v>
      </c>
      <c r="G57" s="370">
        <v>-609802.65662336873</v>
      </c>
      <c r="H57" s="370">
        <v>-589346</v>
      </c>
      <c r="I57" s="370">
        <v>-560209.80734340427</v>
      </c>
      <c r="J57" s="370">
        <v>-529201</v>
      </c>
      <c r="K57" s="370">
        <v>-541131.77943365462</v>
      </c>
      <c r="L57" s="370">
        <v>-528846</v>
      </c>
      <c r="M57" s="370">
        <v>-645780.15914609202</v>
      </c>
      <c r="N57" s="370">
        <v>-483232</v>
      </c>
      <c r="O57" s="374">
        <v>-651214.69156293117</v>
      </c>
      <c r="P57" s="370">
        <v>-620839.36</v>
      </c>
      <c r="Q57" s="375"/>
      <c r="R57" s="375"/>
      <c r="S57" s="375"/>
      <c r="T57" s="375"/>
      <c r="U57" s="375"/>
      <c r="V57" s="375"/>
      <c r="W57" s="375"/>
      <c r="X57" s="377"/>
      <c r="Y57" s="377"/>
      <c r="Z57" s="377"/>
      <c r="AA57" s="377"/>
      <c r="AB57" s="377"/>
      <c r="AD57" s="404"/>
    </row>
    <row r="58" spans="1:45" s="403" customFormat="1" ht="15.75" x14ac:dyDescent="0.25">
      <c r="A58" s="401" t="s">
        <v>31</v>
      </c>
      <c r="B58" s="402" t="s">
        <v>133</v>
      </c>
      <c r="C58" s="400" t="s">
        <v>134</v>
      </c>
      <c r="D58" s="370">
        <f>VLOOKUP(A58,IT!A:N,14,FALSE)</f>
        <v>-278066.11</v>
      </c>
      <c r="E58" s="370">
        <v>-258668.89000000004</v>
      </c>
      <c r="F58" s="370">
        <v>-272808.50712419243</v>
      </c>
      <c r="G58" s="370">
        <v>-219102.78093133579</v>
      </c>
      <c r="H58" s="370">
        <v>-201696</v>
      </c>
      <c r="I58" s="370">
        <v>-197875.22395429495</v>
      </c>
      <c r="J58" s="370">
        <v>-185442</v>
      </c>
      <c r="K58" s="370">
        <v>-190638.38690924132</v>
      </c>
      <c r="L58" s="370">
        <v>-187116</v>
      </c>
      <c r="M58" s="370">
        <v>-200638.41832864506</v>
      </c>
      <c r="N58" s="370">
        <v>-112268</v>
      </c>
      <c r="O58" s="374">
        <v>-140026.87827698933</v>
      </c>
      <c r="P58" s="370">
        <v>-118251.72</v>
      </c>
      <c r="Q58" s="375"/>
      <c r="R58" s="375"/>
      <c r="S58" s="375"/>
      <c r="T58" s="375"/>
      <c r="U58" s="375"/>
      <c r="V58" s="375"/>
      <c r="W58" s="375"/>
      <c r="X58" s="377"/>
      <c r="Y58" s="377"/>
      <c r="Z58" s="377"/>
      <c r="AA58" s="377"/>
      <c r="AB58" s="377"/>
    </row>
    <row r="59" spans="1:45" s="24" customFormat="1" x14ac:dyDescent="0.25">
      <c r="A59" s="18"/>
      <c r="B59" s="19"/>
      <c r="C59" s="10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0"/>
      <c r="P59" s="40"/>
      <c r="Q59" s="30"/>
      <c r="R59" s="30"/>
      <c r="S59" s="30"/>
      <c r="T59" s="30"/>
      <c r="U59" s="30"/>
      <c r="V59" s="30"/>
      <c r="W59" s="30"/>
      <c r="X59" s="31"/>
      <c r="Y59" s="31"/>
      <c r="Z59" s="31"/>
      <c r="AA59" s="31"/>
      <c r="AB59" s="31"/>
    </row>
    <row r="60" spans="1:45" s="46" customFormat="1" x14ac:dyDescent="0.25">
      <c r="A60" s="55"/>
      <c r="B60" s="56"/>
      <c r="C60" s="57" t="s">
        <v>135</v>
      </c>
      <c r="D60" s="58">
        <f t="shared" ref="D60:P60" si="2">SUM(D24:D59)</f>
        <v>-4684002.4012681702</v>
      </c>
      <c r="E60" s="58">
        <f t="shared" si="2"/>
        <v>-4073649.370000001</v>
      </c>
      <c r="F60" s="58">
        <f t="shared" si="2"/>
        <v>-4380322.5635676468</v>
      </c>
      <c r="G60" s="58">
        <f t="shared" si="2"/>
        <v>-4159373.0142932381</v>
      </c>
      <c r="H60" s="58">
        <f t="shared" si="2"/>
        <v>-3928055</v>
      </c>
      <c r="I60" s="58">
        <f t="shared" si="2"/>
        <v>-3941700.8578253654</v>
      </c>
      <c r="J60" s="58">
        <f t="shared" si="2"/>
        <v>-3585984.5700000003</v>
      </c>
      <c r="K60" s="58">
        <f t="shared" si="2"/>
        <v>-3856059.5363610568</v>
      </c>
      <c r="L60" s="58">
        <f t="shared" si="2"/>
        <v>-3507194.01</v>
      </c>
      <c r="M60" s="58">
        <f t="shared" si="2"/>
        <v>-3452378.6007093973</v>
      </c>
      <c r="N60" s="58">
        <f t="shared" si="2"/>
        <v>-2460699.9500000002</v>
      </c>
      <c r="O60" s="58">
        <f t="shared" si="2"/>
        <v>-3544111.9745265567</v>
      </c>
      <c r="P60" s="58">
        <f t="shared" si="2"/>
        <v>-3085239.9</v>
      </c>
      <c r="Q60" s="30"/>
      <c r="R60" s="30"/>
      <c r="S60" s="30"/>
      <c r="T60" s="30"/>
      <c r="U60" s="30"/>
      <c r="V60" s="30"/>
      <c r="W60" s="30"/>
      <c r="X60" s="31"/>
      <c r="Y60" s="31"/>
      <c r="Z60" s="31"/>
      <c r="AA60" s="31"/>
      <c r="AB60" s="31"/>
    </row>
    <row r="61" spans="1:45" s="24" customFormat="1" x14ac:dyDescent="0.25">
      <c r="A61" s="18"/>
      <c r="B61" s="19"/>
      <c r="C61" s="10"/>
      <c r="D61" s="26" t="s">
        <v>136</v>
      </c>
      <c r="E61" s="26" t="s">
        <v>136</v>
      </c>
      <c r="F61" s="26" t="s">
        <v>136</v>
      </c>
      <c r="G61" s="26" t="s">
        <v>136</v>
      </c>
      <c r="H61" s="26" t="s">
        <v>136</v>
      </c>
      <c r="I61" s="26"/>
      <c r="J61" s="26"/>
      <c r="K61" s="26"/>
      <c r="L61" s="26"/>
      <c r="M61" s="26"/>
      <c r="N61" s="26"/>
      <c r="O61" s="20"/>
      <c r="P61" s="20"/>
      <c r="Q61" s="30"/>
      <c r="R61" s="30"/>
      <c r="S61" s="30"/>
      <c r="T61" s="30"/>
      <c r="U61" s="30"/>
      <c r="V61" s="30"/>
      <c r="W61" s="30"/>
      <c r="X61" s="31"/>
      <c r="Y61" s="31"/>
      <c r="Z61" s="31"/>
      <c r="AA61" s="31"/>
      <c r="AB61" s="31"/>
      <c r="AC61" s="79"/>
    </row>
    <row r="62" spans="1:45" s="46" customFormat="1" ht="15.75" thickBot="1" x14ac:dyDescent="0.3">
      <c r="A62" s="55"/>
      <c r="B62" s="56"/>
      <c r="C62" s="206" t="s">
        <v>137</v>
      </c>
      <c r="D62" s="88">
        <f t="shared" ref="D62:N62" si="3">D22+D60</f>
        <v>-377101.00487900339</v>
      </c>
      <c r="E62" s="88">
        <f t="shared" si="3"/>
        <v>-153165.93000000063</v>
      </c>
      <c r="F62" s="88">
        <f t="shared" si="3"/>
        <v>-541527.49066226278</v>
      </c>
      <c r="G62" s="88">
        <f t="shared" si="3"/>
        <v>-754904.91338463174</v>
      </c>
      <c r="H62" s="88">
        <f t="shared" si="3"/>
        <v>-160192</v>
      </c>
      <c r="I62" s="88">
        <f t="shared" si="3"/>
        <v>-656801.00254113926</v>
      </c>
      <c r="J62" s="88">
        <f t="shared" si="3"/>
        <v>-453128.96000000043</v>
      </c>
      <c r="K62" s="88">
        <f t="shared" si="3"/>
        <v>-785381.48359950539</v>
      </c>
      <c r="L62" s="88">
        <f t="shared" si="3"/>
        <v>-318128.88999999966</v>
      </c>
      <c r="M62" s="88">
        <f t="shared" si="3"/>
        <v>-257884.78253025468</v>
      </c>
      <c r="N62" s="88">
        <f t="shared" si="3"/>
        <v>722060.04999999981</v>
      </c>
      <c r="O62" s="88">
        <f>O22+O60-4</f>
        <v>-536956.40277978405</v>
      </c>
      <c r="P62" s="88">
        <f>P22+P60-4</f>
        <v>209247.3200000003</v>
      </c>
      <c r="Q62" s="82"/>
      <c r="R62" s="82"/>
      <c r="S62" s="82"/>
      <c r="T62" s="82"/>
      <c r="U62" s="82"/>
      <c r="V62" s="82"/>
      <c r="W62" s="82"/>
      <c r="X62" s="83"/>
      <c r="Y62" s="83"/>
      <c r="Z62" s="83"/>
      <c r="AA62" s="83"/>
      <c r="AB62" s="83"/>
      <c r="AC62" s="207"/>
    </row>
    <row r="63" spans="1:45" s="46" customFormat="1" x14ac:dyDescent="0.25">
      <c r="A63" s="55"/>
      <c r="B63" s="56"/>
      <c r="C63" s="21" t="s">
        <v>138</v>
      </c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0"/>
      <c r="P63" s="80"/>
      <c r="Q63" s="30"/>
      <c r="R63" s="30"/>
      <c r="S63" s="30"/>
      <c r="T63" s="30"/>
      <c r="U63" s="30"/>
      <c r="V63" s="30"/>
      <c r="W63" s="30"/>
      <c r="X63" s="31"/>
      <c r="Y63" s="31"/>
      <c r="Z63" s="31"/>
      <c r="AA63" s="31"/>
      <c r="AB63" s="31"/>
    </row>
    <row r="64" spans="1:45" s="378" customFormat="1" x14ac:dyDescent="0.25">
      <c r="A64" s="401" t="s">
        <v>139</v>
      </c>
      <c r="B64" s="383" t="s">
        <v>23</v>
      </c>
      <c r="C64" s="373" t="s">
        <v>140</v>
      </c>
      <c r="D64" s="370">
        <f>VLOOKUP(A64,INV!A:N,14,FALSE)</f>
        <v>276000</v>
      </c>
      <c r="E64" s="370">
        <v>276000</v>
      </c>
      <c r="F64" s="370">
        <v>276000</v>
      </c>
      <c r="G64" s="370">
        <v>276000</v>
      </c>
      <c r="H64" s="370">
        <v>477245</v>
      </c>
      <c r="I64" s="370">
        <v>276000</v>
      </c>
      <c r="J64" s="370">
        <v>-105109</v>
      </c>
      <c r="K64" s="370">
        <v>250000.00000000003</v>
      </c>
      <c r="L64" s="370">
        <v>710886</v>
      </c>
      <c r="M64" s="370">
        <v>250000.00000000003</v>
      </c>
      <c r="N64" s="370">
        <v>172710.5</v>
      </c>
      <c r="O64" s="374">
        <v>250000.00000000003</v>
      </c>
      <c r="P64" s="373">
        <v>442449.69</v>
      </c>
      <c r="Q64" s="375"/>
      <c r="R64" s="375"/>
      <c r="S64" s="375"/>
      <c r="T64" s="375"/>
      <c r="U64" s="375"/>
      <c r="V64" s="375"/>
      <c r="W64" s="375"/>
      <c r="X64" s="377"/>
      <c r="Y64" s="377"/>
      <c r="Z64" s="377"/>
      <c r="AA64" s="377"/>
      <c r="AB64" s="377"/>
    </row>
    <row r="65" spans="1:71" s="24" customFormat="1" x14ac:dyDescent="0.25">
      <c r="A65" s="77" t="s">
        <v>141</v>
      </c>
      <c r="B65" s="25" t="s">
        <v>23</v>
      </c>
      <c r="C65" s="10" t="s">
        <v>142</v>
      </c>
      <c r="D65" s="75">
        <v>0</v>
      </c>
      <c r="E65" s="75">
        <v>0</v>
      </c>
      <c r="F65" s="75">
        <v>0</v>
      </c>
      <c r="G65" s="75">
        <v>0</v>
      </c>
      <c r="H65" s="26">
        <v>50</v>
      </c>
      <c r="I65" s="75">
        <v>0</v>
      </c>
      <c r="J65" s="261">
        <v>50</v>
      </c>
      <c r="K65" s="75">
        <v>0</v>
      </c>
      <c r="L65" s="26">
        <v>240</v>
      </c>
      <c r="M65" s="26">
        <v>0</v>
      </c>
      <c r="N65" s="26">
        <v>1315</v>
      </c>
      <c r="O65" s="20">
        <v>0</v>
      </c>
      <c r="P65" s="20">
        <v>1062.58</v>
      </c>
      <c r="Q65" s="30"/>
      <c r="R65" s="30"/>
      <c r="S65" s="30"/>
      <c r="T65" s="30"/>
      <c r="U65" s="30"/>
      <c r="V65" s="30"/>
      <c r="W65" s="30"/>
      <c r="X65" s="31"/>
      <c r="Y65" s="31"/>
      <c r="Z65" s="31"/>
      <c r="AA65" s="31"/>
      <c r="AB65" s="31"/>
    </row>
    <row r="66" spans="1:71" s="24" customFormat="1" hidden="1" x14ac:dyDescent="0.25">
      <c r="A66" s="77" t="s">
        <v>31</v>
      </c>
      <c r="B66" s="41"/>
      <c r="C66" s="10" t="s">
        <v>143</v>
      </c>
      <c r="D66" s="75">
        <v>0</v>
      </c>
      <c r="E66" s="75">
        <v>0</v>
      </c>
      <c r="F66" s="75">
        <v>0</v>
      </c>
      <c r="G66" s="75">
        <v>0</v>
      </c>
      <c r="H66" s="261">
        <v>0</v>
      </c>
      <c r="I66" s="75">
        <v>0</v>
      </c>
      <c r="J66" s="261">
        <v>0</v>
      </c>
      <c r="K66" s="75">
        <v>0</v>
      </c>
      <c r="L66" s="26">
        <v>0</v>
      </c>
      <c r="M66" s="26">
        <v>0</v>
      </c>
      <c r="N66" s="26">
        <v>0</v>
      </c>
      <c r="O66" s="20">
        <v>0</v>
      </c>
      <c r="P66" s="20">
        <v>0</v>
      </c>
      <c r="Q66" s="30"/>
      <c r="R66" s="30"/>
      <c r="S66" s="30"/>
      <c r="T66" s="30"/>
      <c r="U66" s="30"/>
      <c r="V66" s="30"/>
      <c r="W66" s="30"/>
      <c r="X66" s="31"/>
      <c r="Y66" s="31"/>
      <c r="Z66" s="31"/>
      <c r="AA66" s="31"/>
      <c r="AB66" s="31"/>
    </row>
    <row r="67" spans="1:71" s="378" customFormat="1" x14ac:dyDescent="0.25">
      <c r="A67" s="401" t="s">
        <v>144</v>
      </c>
      <c r="B67" s="383" t="s">
        <v>23</v>
      </c>
      <c r="C67" s="373" t="s">
        <v>145</v>
      </c>
      <c r="D67" s="370">
        <f>VLOOKUP(A67,INV!A:N,14,FALSE)</f>
        <v>-15000</v>
      </c>
      <c r="E67" s="370">
        <v>-15000</v>
      </c>
      <c r="F67" s="370">
        <v>-15000</v>
      </c>
      <c r="G67" s="370">
        <v>-15000</v>
      </c>
      <c r="H67" s="370">
        <v>-15275</v>
      </c>
      <c r="I67" s="370">
        <v>-15000</v>
      </c>
      <c r="J67" s="370">
        <v>-4781.82</v>
      </c>
      <c r="K67" s="370">
        <v>-15000</v>
      </c>
      <c r="L67" s="370">
        <v>-5287.03</v>
      </c>
      <c r="M67" s="370">
        <f>VLOOKUP(A67,INV!A:N,14,FALSE)</f>
        <v>-15000</v>
      </c>
      <c r="N67" s="370">
        <v>-16422</v>
      </c>
      <c r="O67" s="374">
        <v>-15000</v>
      </c>
      <c r="P67" s="374">
        <v>-11166.37</v>
      </c>
      <c r="Q67" s="375"/>
      <c r="R67" s="375"/>
      <c r="S67" s="375"/>
      <c r="T67" s="375"/>
      <c r="U67" s="375"/>
      <c r="V67" s="375"/>
      <c r="W67" s="375"/>
      <c r="X67" s="377"/>
      <c r="Y67" s="377"/>
      <c r="Z67" s="377"/>
      <c r="AA67" s="377"/>
      <c r="AB67" s="377"/>
    </row>
    <row r="68" spans="1:71" s="46" customFormat="1" x14ac:dyDescent="0.25">
      <c r="A68" s="55"/>
      <c r="B68" s="56"/>
      <c r="C68" s="57" t="s">
        <v>146</v>
      </c>
      <c r="D68" s="58">
        <f t="shared" ref="D68:P68" si="4">SUM(D64:D67)</f>
        <v>261000</v>
      </c>
      <c r="E68" s="58">
        <f t="shared" ref="E68:F68" si="5">SUM(E64:E67)</f>
        <v>261000</v>
      </c>
      <c r="F68" s="58">
        <f t="shared" si="5"/>
        <v>261000</v>
      </c>
      <c r="G68" s="58">
        <f t="shared" ref="G68:H68" si="6">SUM(G64:G67)</f>
        <v>261000</v>
      </c>
      <c r="H68" s="58">
        <f t="shared" si="6"/>
        <v>462020</v>
      </c>
      <c r="I68" s="58">
        <f>SUM(I64:I67)</f>
        <v>261000</v>
      </c>
      <c r="J68" s="58">
        <f>SUM(J64:J67)</f>
        <v>-109840.82</v>
      </c>
      <c r="K68" s="58">
        <f>SUM(K64:K67)</f>
        <v>235000.00000000003</v>
      </c>
      <c r="L68" s="58">
        <f>SUM(L64:L67)</f>
        <v>705838.97</v>
      </c>
      <c r="M68" s="58">
        <f t="shared" si="4"/>
        <v>235000.00000000003</v>
      </c>
      <c r="N68" s="58">
        <f>SUM(N64:N67)</f>
        <v>157603.5</v>
      </c>
      <c r="O68" s="58">
        <f t="shared" si="4"/>
        <v>235000.00000000003</v>
      </c>
      <c r="P68" s="58">
        <f t="shared" si="4"/>
        <v>432345.9</v>
      </c>
      <c r="Q68" s="82"/>
      <c r="R68" s="82"/>
      <c r="S68" s="82"/>
      <c r="T68" s="82"/>
      <c r="U68" s="82"/>
      <c r="V68" s="82"/>
      <c r="W68" s="82"/>
      <c r="X68" s="83"/>
      <c r="Y68" s="83"/>
      <c r="Z68" s="83"/>
      <c r="AA68" s="83"/>
      <c r="AB68" s="83"/>
    </row>
    <row r="69" spans="1:71" s="24" customFormat="1" x14ac:dyDescent="0.25">
      <c r="A69" s="18"/>
      <c r="B69" s="19"/>
      <c r="C69" s="10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0"/>
      <c r="P69" s="20"/>
      <c r="Q69" s="19"/>
      <c r="R69" s="19"/>
      <c r="S69" s="19"/>
      <c r="T69" s="19"/>
      <c r="U69" s="19"/>
      <c r="V69" s="19"/>
      <c r="W69" s="19"/>
    </row>
    <row r="70" spans="1:71" s="8" customFormat="1" ht="15.75" thickBot="1" x14ac:dyDescent="0.3">
      <c r="A70" s="84"/>
      <c r="B70" s="85"/>
      <c r="C70" s="87" t="s">
        <v>147</v>
      </c>
      <c r="D70" s="88">
        <f t="shared" ref="D70:P70" si="7">D62+D68+4</f>
        <v>-116097.00487900339</v>
      </c>
      <c r="E70" s="88">
        <f t="shared" ref="E70:F70" si="8">E62+E68+4</f>
        <v>107838.06999999937</v>
      </c>
      <c r="F70" s="88">
        <f t="shared" si="8"/>
        <v>-280523.49066226278</v>
      </c>
      <c r="G70" s="88">
        <f t="shared" ref="G70" si="9">G62+G68+4</f>
        <v>-493900.91338463174</v>
      </c>
      <c r="H70" s="88">
        <f>H62+H68</f>
        <v>301828</v>
      </c>
      <c r="I70" s="88">
        <f t="shared" si="7"/>
        <v>-395797.00254113926</v>
      </c>
      <c r="J70" s="88">
        <f t="shared" si="7"/>
        <v>-562965.78000000049</v>
      </c>
      <c r="K70" s="88">
        <f t="shared" si="7"/>
        <v>-550377.48359950539</v>
      </c>
      <c r="L70" s="88">
        <f>L62+L68</f>
        <v>387710.08000000031</v>
      </c>
      <c r="M70" s="88">
        <f t="shared" si="7"/>
        <v>-22880.782530254655</v>
      </c>
      <c r="N70" s="88">
        <f t="shared" si="7"/>
        <v>879667.54999999981</v>
      </c>
      <c r="O70" s="88">
        <f t="shared" si="7"/>
        <v>-301952.40277978405</v>
      </c>
      <c r="P70" s="86">
        <f t="shared" si="7"/>
        <v>641597.22000000032</v>
      </c>
      <c r="Q70" s="7"/>
      <c r="R70" s="7"/>
      <c r="S70" s="7"/>
      <c r="T70" s="7"/>
      <c r="U70" s="7"/>
      <c r="V70" s="7"/>
      <c r="W70" s="7"/>
    </row>
    <row r="71" spans="1:71" hidden="1" x14ac:dyDescent="0.25">
      <c r="A71" s="1"/>
      <c r="B71" s="2"/>
      <c r="C71" s="89" t="s">
        <v>148</v>
      </c>
      <c r="D71" s="90"/>
      <c r="E71" s="90"/>
      <c r="F71" s="90"/>
      <c r="G71" s="90"/>
      <c r="H71" s="90"/>
      <c r="I71" s="90"/>
      <c r="J71" s="211"/>
      <c r="K71" s="90"/>
      <c r="L71" s="90"/>
      <c r="M71" s="211"/>
      <c r="N71" s="90"/>
      <c r="O71" s="91"/>
      <c r="P71" s="92"/>
      <c r="Q71" s="19"/>
      <c r="R71" s="19"/>
      <c r="S71" s="19"/>
      <c r="T71" s="19"/>
      <c r="U71" s="19"/>
      <c r="V71" s="19"/>
      <c r="W71" s="19"/>
      <c r="X71" s="24"/>
      <c r="Y71" s="24"/>
      <c r="Z71" s="24"/>
      <c r="AA71" s="24"/>
      <c r="AB71" s="24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93"/>
      <c r="AP71" s="93"/>
      <c r="AQ71" s="93"/>
      <c r="AR71" s="93"/>
      <c r="AS71" s="93"/>
      <c r="AT71" s="93"/>
      <c r="AU71" s="93"/>
      <c r="AV71" s="93"/>
      <c r="AW71" s="93"/>
      <c r="AX71" s="93"/>
      <c r="AY71" s="93"/>
      <c r="AZ71" s="93"/>
      <c r="BA71" s="93"/>
      <c r="BB71" s="93"/>
      <c r="BC71" s="93"/>
      <c r="BD71" s="93"/>
      <c r="BE71" s="93"/>
      <c r="BF71" s="93"/>
      <c r="BG71" s="93"/>
      <c r="BH71" s="93"/>
      <c r="BI71" s="93"/>
      <c r="BJ71" s="93"/>
      <c r="BK71" s="93"/>
      <c r="BL71" s="93"/>
      <c r="BM71" s="93"/>
      <c r="BN71" s="93"/>
      <c r="BO71" s="93"/>
      <c r="BP71" s="93"/>
      <c r="BQ71" s="93"/>
      <c r="BR71" s="93"/>
      <c r="BS71" s="93"/>
    </row>
    <row r="72" spans="1:71" hidden="1" x14ac:dyDescent="0.25">
      <c r="A72" s="9"/>
      <c r="B72" s="7"/>
      <c r="C72" s="12" t="s">
        <v>149</v>
      </c>
      <c r="D72" s="27"/>
      <c r="E72" s="27"/>
      <c r="F72" s="27"/>
      <c r="G72" s="27"/>
      <c r="H72" s="27"/>
      <c r="I72" s="27"/>
      <c r="J72" s="26"/>
      <c r="K72" s="27"/>
      <c r="L72" s="27"/>
      <c r="M72" s="26"/>
      <c r="N72" s="27"/>
      <c r="O72" s="20"/>
      <c r="P72" s="40">
        <v>-51271.080000000133</v>
      </c>
      <c r="Q72" s="19"/>
      <c r="R72" s="19"/>
      <c r="S72" s="19"/>
      <c r="T72" s="19"/>
      <c r="U72" s="19"/>
      <c r="V72" s="19"/>
      <c r="W72" s="19"/>
      <c r="X72" s="24"/>
      <c r="Y72" s="24"/>
      <c r="Z72" s="24"/>
      <c r="AA72" s="24"/>
      <c r="AB72" s="24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93"/>
      <c r="AP72" s="93"/>
      <c r="AQ72" s="93"/>
      <c r="AR72" s="93"/>
      <c r="AS72" s="93"/>
      <c r="AT72" s="93"/>
      <c r="AU72" s="93"/>
      <c r="AV72" s="93"/>
      <c r="AW72" s="93"/>
      <c r="AX72" s="93"/>
      <c r="AY72" s="93"/>
      <c r="AZ72" s="93"/>
      <c r="BA72" s="93"/>
      <c r="BB72" s="93"/>
      <c r="BC72" s="93"/>
      <c r="BD72" s="93"/>
      <c r="BE72" s="93"/>
      <c r="BF72" s="93"/>
      <c r="BG72" s="93"/>
      <c r="BH72" s="93"/>
      <c r="BI72" s="93"/>
      <c r="BJ72" s="93"/>
      <c r="BK72" s="93"/>
      <c r="BL72" s="93"/>
      <c r="BM72" s="93"/>
      <c r="BN72" s="93"/>
      <c r="BO72" s="93"/>
      <c r="BP72" s="93"/>
      <c r="BQ72" s="93"/>
      <c r="BR72" s="93"/>
      <c r="BS72" s="93"/>
    </row>
    <row r="73" spans="1:71" hidden="1" x14ac:dyDescent="0.25">
      <c r="A73" s="9"/>
      <c r="B73" s="7"/>
      <c r="C73" s="12" t="s">
        <v>150</v>
      </c>
      <c r="D73" s="27"/>
      <c r="E73" s="27"/>
      <c r="F73" s="27"/>
      <c r="G73" s="27"/>
      <c r="H73" s="27"/>
      <c r="I73" s="27"/>
      <c r="J73" s="26"/>
      <c r="K73" s="27"/>
      <c r="L73" s="27"/>
      <c r="M73" s="26"/>
      <c r="N73" s="27"/>
      <c r="O73" s="20"/>
      <c r="P73" s="40">
        <v>382303.06</v>
      </c>
      <c r="Q73" s="19"/>
      <c r="R73" s="19"/>
      <c r="S73" s="19"/>
      <c r="T73" s="19"/>
      <c r="U73" s="19"/>
      <c r="V73" s="19"/>
      <c r="W73" s="19"/>
      <c r="X73" s="24"/>
      <c r="Y73" s="24"/>
      <c r="Z73" s="24"/>
      <c r="AA73" s="24"/>
      <c r="AB73" s="24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93"/>
      <c r="AP73" s="93"/>
      <c r="AQ73" s="93"/>
      <c r="AR73" s="93"/>
      <c r="AS73" s="93"/>
      <c r="AT73" s="93"/>
      <c r="AU73" s="93"/>
      <c r="AV73" s="93"/>
      <c r="AW73" s="93"/>
      <c r="AX73" s="93"/>
      <c r="AY73" s="93"/>
      <c r="AZ73" s="93"/>
      <c r="BA73" s="93"/>
      <c r="BB73" s="93"/>
      <c r="BC73" s="93"/>
      <c r="BD73" s="93"/>
      <c r="BE73" s="93"/>
      <c r="BF73" s="93"/>
      <c r="BG73" s="93"/>
      <c r="BH73" s="93"/>
      <c r="BI73" s="93"/>
      <c r="BJ73" s="93"/>
      <c r="BK73" s="93"/>
      <c r="BL73" s="93"/>
      <c r="BM73" s="93"/>
      <c r="BN73" s="93"/>
      <c r="BO73" s="93"/>
      <c r="BP73" s="93"/>
      <c r="BQ73" s="93"/>
      <c r="BR73" s="93"/>
      <c r="BS73" s="93"/>
    </row>
    <row r="74" spans="1:71" hidden="1" x14ac:dyDescent="0.25">
      <c r="A74" s="9"/>
      <c r="B74" s="7"/>
      <c r="C74" s="12" t="s">
        <v>151</v>
      </c>
      <c r="D74" s="27"/>
      <c r="E74" s="27"/>
      <c r="F74" s="27"/>
      <c r="G74" s="27"/>
      <c r="H74" s="27"/>
      <c r="I74" s="27"/>
      <c r="J74" s="26"/>
      <c r="K74" s="27"/>
      <c r="L74" s="27"/>
      <c r="M74" s="26"/>
      <c r="N74" s="27"/>
      <c r="O74" s="20"/>
      <c r="P74" s="40">
        <f>-P68</f>
        <v>-432345.9</v>
      </c>
      <c r="Q74" s="19"/>
      <c r="R74" s="19"/>
      <c r="S74" s="19"/>
      <c r="T74" s="19"/>
      <c r="U74" s="19"/>
      <c r="V74" s="19"/>
      <c r="W74" s="19"/>
      <c r="X74" s="24"/>
      <c r="Y74" s="24"/>
      <c r="Z74" s="24"/>
      <c r="AA74" s="24"/>
      <c r="AB74" s="24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  <c r="AQ74" s="93"/>
      <c r="AR74" s="93"/>
      <c r="AS74" s="93"/>
      <c r="AT74" s="93"/>
      <c r="AU74" s="93"/>
      <c r="AV74" s="93"/>
      <c r="AW74" s="93"/>
      <c r="AX74" s="93"/>
      <c r="AY74" s="93"/>
      <c r="AZ74" s="93"/>
      <c r="BA74" s="93"/>
      <c r="BB74" s="93"/>
      <c r="BC74" s="93"/>
      <c r="BD74" s="93"/>
      <c r="BE74" s="93"/>
      <c r="BF74" s="93"/>
      <c r="BG74" s="93"/>
      <c r="BH74" s="93"/>
      <c r="BI74" s="93"/>
      <c r="BJ74" s="93"/>
      <c r="BK74" s="93"/>
      <c r="BL74" s="93"/>
      <c r="BM74" s="93"/>
      <c r="BN74" s="93"/>
      <c r="BO74" s="93"/>
      <c r="BP74" s="93"/>
      <c r="BQ74" s="93"/>
      <c r="BR74" s="93"/>
      <c r="BS74" s="93"/>
    </row>
    <row r="75" spans="1:71" hidden="1" x14ac:dyDescent="0.25">
      <c r="A75" s="9"/>
      <c r="B75" s="7"/>
      <c r="C75" s="94" t="s">
        <v>152</v>
      </c>
      <c r="D75" s="95"/>
      <c r="E75" s="95"/>
      <c r="F75" s="95"/>
      <c r="G75" s="95"/>
      <c r="H75" s="95"/>
      <c r="I75" s="95"/>
      <c r="J75" s="212"/>
      <c r="K75" s="95"/>
      <c r="L75" s="95"/>
      <c r="M75" s="212"/>
      <c r="N75" s="95"/>
      <c r="O75" s="96"/>
      <c r="P75" s="97">
        <f>SUM(P72:P74)</f>
        <v>-101313.92000000016</v>
      </c>
      <c r="Q75" s="19"/>
      <c r="R75" s="19"/>
      <c r="S75" s="19"/>
      <c r="T75" s="19"/>
      <c r="U75" s="19"/>
      <c r="V75" s="19"/>
      <c r="W75" s="19"/>
      <c r="X75" s="24"/>
      <c r="Y75" s="24"/>
      <c r="Z75" s="24"/>
      <c r="AA75" s="24"/>
      <c r="AB75" s="24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  <c r="AQ75" s="93"/>
      <c r="AR75" s="93"/>
      <c r="AS75" s="93"/>
      <c r="AT75" s="93"/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93"/>
      <c r="BK75" s="93"/>
      <c r="BL75" s="93"/>
      <c r="BM75" s="93"/>
      <c r="BN75" s="93"/>
      <c r="BO75" s="93"/>
      <c r="BP75" s="93"/>
      <c r="BQ75" s="93"/>
      <c r="BR75" s="93"/>
      <c r="BS75" s="93"/>
    </row>
    <row r="76" spans="1:71" hidden="1" x14ac:dyDescent="0.25">
      <c r="A76" s="9"/>
      <c r="B76" s="7"/>
      <c r="C76" s="12"/>
      <c r="D76" s="27"/>
      <c r="E76" s="27"/>
      <c r="F76" s="27"/>
      <c r="G76" s="27"/>
      <c r="H76" s="27"/>
      <c r="I76" s="27"/>
      <c r="J76" s="26"/>
      <c r="K76" s="27"/>
      <c r="L76" s="27"/>
      <c r="M76" s="26"/>
      <c r="N76" s="27"/>
      <c r="O76" s="20"/>
      <c r="P76" s="40"/>
      <c r="Q76" s="19"/>
      <c r="R76" s="19"/>
      <c r="S76" s="19"/>
      <c r="T76" s="19"/>
      <c r="U76" s="19"/>
      <c r="V76" s="19"/>
      <c r="W76" s="19"/>
      <c r="X76" s="24"/>
      <c r="Y76" s="24"/>
      <c r="Z76" s="24"/>
      <c r="AA76" s="24"/>
      <c r="AB76" s="24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  <c r="AO76" s="93"/>
      <c r="AP76" s="93"/>
      <c r="AQ76" s="93"/>
      <c r="AR76" s="93"/>
      <c r="AS76" s="93"/>
      <c r="AT76" s="93"/>
      <c r="AU76" s="93"/>
      <c r="AV76" s="93"/>
      <c r="AW76" s="93"/>
      <c r="AX76" s="93"/>
      <c r="AY76" s="93"/>
      <c r="AZ76" s="93"/>
      <c r="BA76" s="93"/>
      <c r="BB76" s="93"/>
      <c r="BC76" s="93"/>
      <c r="BD76" s="93"/>
      <c r="BE76" s="93"/>
      <c r="BF76" s="93"/>
      <c r="BG76" s="93"/>
      <c r="BH76" s="93"/>
      <c r="BI76" s="93"/>
      <c r="BJ76" s="93"/>
      <c r="BK76" s="93"/>
      <c r="BL76" s="93"/>
      <c r="BM76" s="93"/>
      <c r="BN76" s="93"/>
      <c r="BO76" s="93"/>
      <c r="BP76" s="93"/>
      <c r="BQ76" s="93"/>
      <c r="BR76" s="93"/>
      <c r="BS76" s="93"/>
    </row>
    <row r="77" spans="1:71" hidden="1" x14ac:dyDescent="0.25">
      <c r="A77" s="9"/>
      <c r="B77" s="7"/>
      <c r="C77" s="12" t="s">
        <v>153</v>
      </c>
      <c r="D77" s="27"/>
      <c r="E77" s="27"/>
      <c r="F77" s="27"/>
      <c r="G77" s="27"/>
      <c r="H77" s="27"/>
      <c r="I77" s="27"/>
      <c r="J77" s="26"/>
      <c r="K77" s="27"/>
      <c r="L77" s="27"/>
      <c r="M77" s="26"/>
      <c r="N77" s="27"/>
      <c r="O77" s="20"/>
      <c r="P77" s="40">
        <f>P68</f>
        <v>432345.9</v>
      </c>
      <c r="Q77" s="19"/>
      <c r="R77" s="19"/>
      <c r="S77" s="19"/>
      <c r="T77" s="19"/>
      <c r="U77" s="19"/>
      <c r="V77" s="19"/>
      <c r="W77" s="19"/>
      <c r="X77" s="24"/>
      <c r="Y77" s="24"/>
      <c r="Z77" s="24"/>
      <c r="AA77" s="24"/>
      <c r="AB77" s="24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  <c r="AO77" s="93"/>
      <c r="AP77" s="93"/>
      <c r="AQ77" s="93"/>
      <c r="AR77" s="93"/>
      <c r="AS77" s="93"/>
      <c r="AT77" s="93"/>
      <c r="AU77" s="93"/>
      <c r="AV77" s="93"/>
      <c r="AW77" s="93"/>
      <c r="AX77" s="93"/>
      <c r="AY77" s="93"/>
      <c r="AZ77" s="93"/>
      <c r="BA77" s="93"/>
      <c r="BB77" s="93"/>
      <c r="BC77" s="93"/>
      <c r="BD77" s="93"/>
      <c r="BE77" s="93"/>
      <c r="BF77" s="93"/>
      <c r="BG77" s="93"/>
      <c r="BH77" s="93"/>
      <c r="BI77" s="93"/>
      <c r="BJ77" s="93"/>
      <c r="BK77" s="93"/>
      <c r="BL77" s="93"/>
      <c r="BM77" s="93"/>
      <c r="BN77" s="93"/>
      <c r="BO77" s="93"/>
      <c r="BP77" s="93"/>
      <c r="BQ77" s="93"/>
      <c r="BR77" s="93"/>
      <c r="BS77" s="93"/>
    </row>
    <row r="78" spans="1:71" hidden="1" x14ac:dyDescent="0.25">
      <c r="A78" s="9"/>
      <c r="B78" s="7"/>
      <c r="C78" s="94" t="s">
        <v>154</v>
      </c>
      <c r="D78" s="95"/>
      <c r="E78" s="95"/>
      <c r="F78" s="95"/>
      <c r="G78" s="95"/>
      <c r="H78" s="95"/>
      <c r="I78" s="95"/>
      <c r="J78" s="212"/>
      <c r="K78" s="95"/>
      <c r="L78" s="95"/>
      <c r="M78" s="212"/>
      <c r="N78" s="95"/>
      <c r="O78" s="96"/>
      <c r="P78" s="97">
        <v>331031.97999999986</v>
      </c>
      <c r="Q78" s="19"/>
      <c r="R78" s="19"/>
      <c r="S78" s="19"/>
      <c r="T78" s="19"/>
      <c r="U78" s="19"/>
      <c r="V78" s="19"/>
      <c r="W78" s="19"/>
      <c r="X78" s="24"/>
      <c r="Y78" s="24"/>
      <c r="Z78" s="24"/>
      <c r="AA78" s="24"/>
      <c r="AB78" s="24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  <c r="AQ78" s="93"/>
      <c r="AR78" s="93"/>
      <c r="AS78" s="93"/>
      <c r="AT78" s="93"/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3"/>
      <c r="BH78" s="93"/>
      <c r="BI78" s="93"/>
      <c r="BJ78" s="93"/>
      <c r="BK78" s="93"/>
      <c r="BL78" s="93"/>
      <c r="BM78" s="93"/>
      <c r="BN78" s="93"/>
      <c r="BO78" s="93"/>
      <c r="BP78" s="93"/>
      <c r="BQ78" s="93"/>
      <c r="BR78" s="93"/>
      <c r="BS78" s="93"/>
    </row>
    <row r="79" spans="1:71" hidden="1" x14ac:dyDescent="0.25">
      <c r="A79" s="9" t="s">
        <v>155</v>
      </c>
      <c r="B79" s="7"/>
      <c r="C79" s="12"/>
      <c r="D79" s="27"/>
      <c r="E79" s="27"/>
      <c r="F79" s="27"/>
      <c r="G79" s="27"/>
      <c r="H79" s="27"/>
      <c r="I79" s="27"/>
      <c r="J79" s="26"/>
      <c r="K79" s="27"/>
      <c r="L79" s="27"/>
      <c r="M79" s="26"/>
      <c r="N79" s="27"/>
      <c r="O79" s="20"/>
      <c r="P79" s="40"/>
      <c r="Q79" s="19"/>
      <c r="R79" s="19"/>
      <c r="S79" s="19"/>
      <c r="T79" s="19"/>
      <c r="U79" s="19"/>
      <c r="V79" s="19"/>
      <c r="W79" s="19"/>
      <c r="X79" s="24"/>
      <c r="Y79" s="24"/>
      <c r="Z79" s="24"/>
      <c r="AA79" s="24"/>
      <c r="AB79" s="24"/>
      <c r="AC79" s="93"/>
      <c r="AD79" s="93"/>
      <c r="AE79" s="93"/>
      <c r="AF79" s="93"/>
      <c r="AG79" s="93"/>
      <c r="AH79" s="93"/>
      <c r="AI79" s="93"/>
      <c r="AJ79" s="93"/>
      <c r="AK79" s="93"/>
      <c r="AL79" s="93"/>
      <c r="AM79" s="93"/>
      <c r="AN79" s="93"/>
      <c r="AO79" s="93"/>
      <c r="AP79" s="93"/>
      <c r="AQ79" s="93"/>
      <c r="AR79" s="93"/>
      <c r="AS79" s="93"/>
      <c r="AT79" s="93"/>
      <c r="AU79" s="93"/>
      <c r="AV79" s="93"/>
      <c r="AW79" s="93"/>
      <c r="AX79" s="93"/>
      <c r="AY79" s="93"/>
      <c r="AZ79" s="93"/>
      <c r="BA79" s="93"/>
      <c r="BB79" s="93"/>
      <c r="BC79" s="93"/>
      <c r="BD79" s="93"/>
      <c r="BE79" s="93"/>
      <c r="BF79" s="93"/>
      <c r="BG79" s="93"/>
      <c r="BH79" s="93"/>
      <c r="BI79" s="93"/>
      <c r="BJ79" s="93"/>
      <c r="BK79" s="93"/>
      <c r="BL79" s="93"/>
      <c r="BM79" s="93"/>
      <c r="BN79" s="93"/>
      <c r="BO79" s="93"/>
      <c r="BP79" s="93"/>
      <c r="BQ79" s="93"/>
      <c r="BR79" s="93"/>
      <c r="BS79" s="93"/>
    </row>
    <row r="80" spans="1:71" hidden="1" x14ac:dyDescent="0.25">
      <c r="A80" s="9"/>
      <c r="B80" s="7"/>
      <c r="C80" s="12" t="s">
        <v>156</v>
      </c>
      <c r="D80" s="27"/>
      <c r="E80" s="27"/>
      <c r="F80" s="27"/>
      <c r="G80" s="27"/>
      <c r="H80" s="27"/>
      <c r="I80" s="27"/>
      <c r="J80" s="26"/>
      <c r="K80" s="27"/>
      <c r="L80" s="27"/>
      <c r="M80" s="26"/>
      <c r="N80" s="27"/>
      <c r="O80" s="20"/>
      <c r="P80" s="40">
        <v>-993846.64</v>
      </c>
      <c r="Q80" s="19"/>
      <c r="R80" s="19"/>
      <c r="S80" s="19"/>
      <c r="T80" s="19"/>
      <c r="U80" s="19"/>
      <c r="V80" s="19"/>
      <c r="W80" s="19"/>
      <c r="X80" s="24"/>
      <c r="Y80" s="24"/>
      <c r="Z80" s="24"/>
      <c r="AA80" s="24"/>
      <c r="AB80" s="24"/>
      <c r="AC80" s="93"/>
      <c r="AD80" s="93"/>
      <c r="AE80" s="93"/>
      <c r="AF80" s="93"/>
      <c r="AG80" s="93"/>
      <c r="AH80" s="93"/>
      <c r="AI80" s="93"/>
      <c r="AJ80" s="93"/>
      <c r="AK80" s="93"/>
      <c r="AL80" s="93"/>
      <c r="AM80" s="93"/>
      <c r="AN80" s="93"/>
      <c r="AO80" s="93"/>
      <c r="AP80" s="93"/>
      <c r="AQ80" s="93"/>
      <c r="AR80" s="93"/>
      <c r="AS80" s="93"/>
      <c r="AT80" s="93"/>
      <c r="AU80" s="93"/>
      <c r="AV80" s="93"/>
      <c r="AW80" s="93"/>
      <c r="AX80" s="93"/>
      <c r="AY80" s="93"/>
      <c r="AZ80" s="93"/>
      <c r="BA80" s="93"/>
      <c r="BB80" s="93"/>
      <c r="BC80" s="93"/>
      <c r="BD80" s="93"/>
      <c r="BE80" s="93"/>
      <c r="BF80" s="93"/>
      <c r="BG80" s="93"/>
      <c r="BH80" s="93"/>
      <c r="BI80" s="93"/>
      <c r="BJ80" s="93"/>
      <c r="BK80" s="93"/>
      <c r="BL80" s="93"/>
      <c r="BM80" s="93"/>
      <c r="BN80" s="93"/>
      <c r="BO80" s="93"/>
      <c r="BP80" s="93"/>
      <c r="BQ80" s="93"/>
      <c r="BR80" s="93"/>
      <c r="BS80" s="93"/>
    </row>
    <row r="81" spans="1:75" ht="15.75" hidden="1" thickBot="1" x14ac:dyDescent="0.3">
      <c r="A81" s="9"/>
      <c r="B81" s="7"/>
      <c r="C81" s="98" t="s">
        <v>157</v>
      </c>
      <c r="D81" s="99"/>
      <c r="E81" s="99"/>
      <c r="F81" s="99"/>
      <c r="G81" s="99"/>
      <c r="H81" s="99"/>
      <c r="I81" s="99"/>
      <c r="J81" s="213"/>
      <c r="K81" s="99"/>
      <c r="L81" s="99"/>
      <c r="M81" s="213"/>
      <c r="N81" s="99"/>
      <c r="O81" s="100"/>
      <c r="P81" s="101">
        <v>-662814.66000000015</v>
      </c>
      <c r="Q81" s="19"/>
      <c r="R81" s="19"/>
      <c r="S81" s="19"/>
      <c r="T81" s="19"/>
      <c r="U81" s="19"/>
      <c r="V81" s="19"/>
      <c r="W81" s="19"/>
      <c r="X81" s="24"/>
      <c r="Y81" s="24"/>
      <c r="Z81" s="24"/>
      <c r="AA81" s="24"/>
      <c r="AB81" s="24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  <c r="AN81" s="93"/>
      <c r="AO81" s="93"/>
      <c r="AP81" s="93"/>
      <c r="AQ81" s="93"/>
      <c r="AR81" s="93"/>
      <c r="AS81" s="93"/>
      <c r="AT81" s="93"/>
      <c r="AU81" s="93"/>
      <c r="AV81" s="93"/>
      <c r="AW81" s="93"/>
      <c r="AX81" s="93"/>
      <c r="AY81" s="93"/>
      <c r="AZ81" s="93"/>
      <c r="BA81" s="93"/>
      <c r="BB81" s="93"/>
      <c r="BC81" s="93"/>
      <c r="BD81" s="93"/>
      <c r="BE81" s="93"/>
      <c r="BF81" s="93"/>
      <c r="BG81" s="93"/>
      <c r="BH81" s="93"/>
      <c r="BI81" s="93"/>
      <c r="BJ81" s="93"/>
      <c r="BK81" s="93"/>
      <c r="BL81" s="93"/>
      <c r="BM81" s="93"/>
      <c r="BN81" s="93"/>
      <c r="BO81" s="93"/>
      <c r="BP81" s="93"/>
      <c r="BQ81" s="93"/>
      <c r="BR81" s="93"/>
      <c r="BS81" s="93"/>
    </row>
    <row r="82" spans="1:75" hidden="1" x14ac:dyDescent="0.25">
      <c r="A82" s="9"/>
      <c r="B82" s="7"/>
      <c r="C82" s="102"/>
      <c r="D82" s="27"/>
      <c r="E82" s="27"/>
      <c r="F82" s="27"/>
      <c r="G82" s="27"/>
      <c r="H82" s="27"/>
      <c r="I82" s="27"/>
      <c r="J82" s="26"/>
      <c r="K82" s="27"/>
      <c r="L82" s="27"/>
      <c r="M82" s="26"/>
      <c r="N82" s="27"/>
      <c r="O82" s="80"/>
      <c r="P82" s="103"/>
      <c r="Q82" s="19"/>
      <c r="R82" s="19"/>
      <c r="S82" s="19"/>
      <c r="T82" s="19"/>
      <c r="U82" s="19"/>
      <c r="V82" s="19"/>
      <c r="W82" s="19"/>
      <c r="X82" s="24"/>
      <c r="Y82" s="24"/>
      <c r="Z82" s="24"/>
      <c r="AA82" s="24"/>
      <c r="AB82" s="24"/>
      <c r="AC82" s="93"/>
      <c r="AD82" s="93"/>
      <c r="AE82" s="93"/>
      <c r="AF82" s="93"/>
      <c r="AG82" s="93"/>
      <c r="AH82" s="93"/>
      <c r="AI82" s="93"/>
      <c r="AJ82" s="93"/>
      <c r="AK82" s="93"/>
      <c r="AL82" s="93"/>
      <c r="AM82" s="93"/>
      <c r="AN82" s="93"/>
      <c r="AO82" s="93"/>
      <c r="AP82" s="93"/>
      <c r="AQ82" s="93"/>
      <c r="AR82" s="93"/>
      <c r="AS82" s="93"/>
      <c r="AT82" s="93"/>
      <c r="AU82" s="93"/>
      <c r="AV82" s="93"/>
      <c r="AW82" s="93"/>
      <c r="AX82" s="93"/>
      <c r="AY82" s="93"/>
      <c r="AZ82" s="93"/>
      <c r="BA82" s="93"/>
      <c r="BB82" s="93"/>
      <c r="BC82" s="93"/>
      <c r="BD82" s="93"/>
      <c r="BE82" s="93"/>
      <c r="BF82" s="93"/>
      <c r="BG82" s="93"/>
      <c r="BH82" s="93"/>
      <c r="BI82" s="93"/>
      <c r="BJ82" s="93"/>
      <c r="BK82" s="93"/>
      <c r="BL82" s="93"/>
      <c r="BM82" s="93"/>
      <c r="BN82" s="93"/>
      <c r="BO82" s="93"/>
      <c r="BP82" s="93"/>
      <c r="BQ82" s="93"/>
      <c r="BR82" s="93"/>
      <c r="BS82" s="93"/>
    </row>
    <row r="83" spans="1:75" ht="15.75" hidden="1" thickBot="1" x14ac:dyDescent="0.3">
      <c r="A83" s="84"/>
      <c r="B83" s="85"/>
      <c r="C83" s="104" t="s">
        <v>158</v>
      </c>
      <c r="D83" s="105"/>
      <c r="E83" s="105"/>
      <c r="F83" s="105"/>
      <c r="G83" s="105"/>
      <c r="H83" s="105"/>
      <c r="I83" s="105"/>
      <c r="J83" s="214"/>
      <c r="K83" s="105"/>
      <c r="L83" s="105"/>
      <c r="M83" s="214"/>
      <c r="N83" s="105"/>
      <c r="O83" s="106"/>
      <c r="P83" s="107">
        <f>P70+P73+P80</f>
        <v>30053.640000000247</v>
      </c>
      <c r="Q83" s="19"/>
      <c r="R83" s="19"/>
      <c r="S83" s="19"/>
      <c r="T83" s="19"/>
      <c r="U83" s="19"/>
      <c r="V83" s="19"/>
      <c r="W83" s="19"/>
      <c r="X83" s="24"/>
      <c r="Y83" s="24"/>
      <c r="Z83" s="24"/>
      <c r="AA83" s="24"/>
      <c r="AB83" s="24"/>
      <c r="AC83" s="93"/>
      <c r="AD83" s="93"/>
      <c r="AE83" s="93"/>
      <c r="AF83" s="93"/>
      <c r="AG83" s="93"/>
      <c r="AH83" s="93"/>
      <c r="AI83" s="93"/>
      <c r="AJ83" s="93"/>
      <c r="AK83" s="93"/>
      <c r="AL83" s="93"/>
      <c r="AM83" s="93"/>
      <c r="AN83" s="93"/>
      <c r="AO83" s="93"/>
      <c r="AP83" s="93"/>
      <c r="AQ83" s="93"/>
      <c r="AR83" s="93"/>
      <c r="AS83" s="93"/>
      <c r="AT83" s="93"/>
      <c r="AU83" s="93"/>
      <c r="AV83" s="93"/>
      <c r="AW83" s="93"/>
      <c r="AX83" s="93"/>
      <c r="AY83" s="93"/>
      <c r="AZ83" s="93"/>
      <c r="BA83" s="93"/>
      <c r="BB83" s="93"/>
      <c r="BC83" s="93"/>
      <c r="BD83" s="93"/>
      <c r="BE83" s="93"/>
      <c r="BF83" s="93"/>
      <c r="BG83" s="93"/>
      <c r="BH83" s="93"/>
      <c r="BI83" s="93"/>
      <c r="BJ83" s="93"/>
      <c r="BK83" s="93"/>
      <c r="BL83" s="93"/>
      <c r="BM83" s="93"/>
      <c r="BN83" s="93"/>
      <c r="BO83" s="93"/>
      <c r="BP83" s="93"/>
      <c r="BQ83" s="93"/>
      <c r="BR83" s="93"/>
      <c r="BS83" s="93"/>
    </row>
    <row r="84" spans="1:75" hidden="1" x14ac:dyDescent="0.25">
      <c r="A84" s="7"/>
      <c r="B84" s="7"/>
      <c r="C84" s="12"/>
      <c r="D84" s="27"/>
      <c r="E84" s="27"/>
      <c r="F84" s="27"/>
      <c r="G84" s="27"/>
      <c r="H84" s="27"/>
      <c r="I84" s="27"/>
      <c r="J84" s="26"/>
      <c r="K84" s="27"/>
      <c r="L84" s="27"/>
      <c r="M84" s="26"/>
      <c r="N84" s="27"/>
      <c r="O84" s="20"/>
      <c r="P84" s="40"/>
      <c r="Q84" s="19"/>
      <c r="R84" s="19"/>
      <c r="S84" s="19"/>
      <c r="T84" s="19"/>
      <c r="U84" s="19"/>
      <c r="V84" s="19"/>
      <c r="W84" s="19"/>
      <c r="X84" s="24"/>
      <c r="Y84" s="24"/>
      <c r="Z84" s="24"/>
      <c r="AA84" s="24"/>
      <c r="AB84" s="24"/>
      <c r="AC84" s="93"/>
      <c r="AD84" s="93"/>
      <c r="AE84" s="93"/>
      <c r="AF84" s="93"/>
      <c r="AG84" s="93"/>
      <c r="AH84" s="93"/>
      <c r="AI84" s="93"/>
      <c r="AJ84" s="93"/>
      <c r="AK84" s="93"/>
      <c r="AL84" s="93"/>
      <c r="AM84" s="93"/>
      <c r="AN84" s="93"/>
      <c r="AO84" s="93"/>
      <c r="AP84" s="93"/>
      <c r="AQ84" s="93"/>
      <c r="AR84" s="93"/>
      <c r="AS84" s="93"/>
      <c r="AT84" s="93"/>
      <c r="AU84" s="93"/>
      <c r="AV84" s="93"/>
      <c r="AW84" s="93"/>
      <c r="AX84" s="93"/>
      <c r="AY84" s="93"/>
      <c r="AZ84" s="93"/>
      <c r="BA84" s="93"/>
      <c r="BB84" s="93"/>
      <c r="BC84" s="93"/>
      <c r="BD84" s="93"/>
      <c r="BE84" s="93"/>
      <c r="BF84" s="93"/>
      <c r="BG84" s="93"/>
      <c r="BH84" s="93"/>
      <c r="BI84" s="93"/>
      <c r="BJ84" s="93"/>
      <c r="BK84" s="93"/>
      <c r="BL84" s="93"/>
      <c r="BM84" s="93"/>
      <c r="BN84" s="93"/>
      <c r="BO84" s="93"/>
      <c r="BP84" s="93"/>
      <c r="BQ84" s="93"/>
      <c r="BR84" s="93"/>
      <c r="BS84" s="93"/>
    </row>
    <row r="85" spans="1:75" hidden="1" x14ac:dyDescent="0.25">
      <c r="A85" s="7"/>
      <c r="B85" s="7"/>
      <c r="C85" s="12"/>
      <c r="D85" s="108"/>
      <c r="E85" s="108"/>
      <c r="F85" s="108"/>
      <c r="G85" s="108"/>
      <c r="H85" s="108"/>
      <c r="I85" s="108"/>
      <c r="K85" s="108"/>
      <c r="L85" s="108"/>
      <c r="N85" s="108"/>
      <c r="P85" s="23"/>
      <c r="Q85" s="19"/>
      <c r="R85" s="19"/>
      <c r="S85" s="19"/>
      <c r="T85" s="19"/>
      <c r="U85" s="19"/>
      <c r="V85" s="19"/>
      <c r="W85" s="19"/>
      <c r="X85" s="24"/>
      <c r="Y85" s="24"/>
      <c r="Z85" s="24"/>
      <c r="AA85" s="24"/>
      <c r="AB85" s="24"/>
      <c r="AC85" s="93"/>
      <c r="AD85" s="93"/>
      <c r="AE85" s="93"/>
      <c r="AF85" s="93"/>
      <c r="AG85" s="93"/>
      <c r="AH85" s="93"/>
      <c r="AI85" s="93"/>
      <c r="AJ85" s="93"/>
      <c r="AK85" s="93"/>
      <c r="AL85" s="93"/>
      <c r="AM85" s="93"/>
      <c r="AN85" s="93"/>
      <c r="AO85" s="93"/>
      <c r="AP85" s="93"/>
      <c r="AQ85" s="93"/>
      <c r="AR85" s="93"/>
      <c r="AS85" s="93"/>
      <c r="AT85" s="93"/>
      <c r="AU85" s="93"/>
      <c r="AV85" s="93"/>
      <c r="AW85" s="93"/>
      <c r="AX85" s="93"/>
      <c r="AY85" s="93"/>
      <c r="AZ85" s="93"/>
      <c r="BA85" s="93"/>
      <c r="BB85" s="93"/>
      <c r="BC85" s="93"/>
      <c r="BD85" s="93"/>
      <c r="BE85" s="93"/>
      <c r="BF85" s="93"/>
      <c r="BG85" s="93"/>
      <c r="BH85" s="93"/>
      <c r="BI85" s="93"/>
      <c r="BJ85" s="93"/>
      <c r="BK85" s="93"/>
      <c r="BL85" s="93"/>
      <c r="BM85" s="93"/>
      <c r="BN85" s="93"/>
      <c r="BO85" s="93"/>
      <c r="BP85" s="93"/>
      <c r="BQ85" s="93"/>
      <c r="BR85" s="93"/>
      <c r="BS85" s="93"/>
    </row>
    <row r="86" spans="1:75" hidden="1" x14ac:dyDescent="0.25">
      <c r="A86" s="7"/>
      <c r="B86" s="7"/>
      <c r="C86" s="12"/>
      <c r="D86" s="108"/>
      <c r="E86" s="108"/>
      <c r="F86" s="108"/>
      <c r="G86" s="108"/>
      <c r="H86" s="108"/>
      <c r="I86" s="108"/>
      <c r="K86" s="108"/>
      <c r="L86" s="108"/>
      <c r="N86" s="108"/>
      <c r="P86" s="23"/>
      <c r="Q86" s="19"/>
      <c r="R86" s="19"/>
      <c r="S86" s="19"/>
      <c r="T86" s="19"/>
      <c r="U86" s="19"/>
      <c r="V86" s="19"/>
      <c r="W86" s="19"/>
      <c r="X86" s="24"/>
      <c r="Y86" s="24"/>
      <c r="Z86" s="24"/>
      <c r="AA86" s="24"/>
      <c r="AB86" s="24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93"/>
      <c r="AP86" s="93"/>
      <c r="AQ86" s="93"/>
      <c r="AR86" s="93"/>
      <c r="AS86" s="93"/>
      <c r="AT86" s="93"/>
      <c r="AU86" s="93"/>
      <c r="AV86" s="93"/>
      <c r="AW86" s="93"/>
      <c r="AX86" s="93"/>
      <c r="AY86" s="93"/>
      <c r="AZ86" s="93"/>
      <c r="BA86" s="93"/>
      <c r="BB86" s="93"/>
      <c r="BC86" s="93"/>
      <c r="BD86" s="93"/>
      <c r="BE86" s="93"/>
      <c r="BF86" s="93"/>
      <c r="BG86" s="93"/>
      <c r="BH86" s="93"/>
      <c r="BI86" s="93"/>
      <c r="BJ86" s="93"/>
      <c r="BK86" s="93"/>
      <c r="BL86" s="93"/>
      <c r="BM86" s="93"/>
      <c r="BN86" s="93"/>
      <c r="BO86" s="93"/>
      <c r="BP86" s="93"/>
      <c r="BQ86" s="93"/>
      <c r="BR86" s="93"/>
      <c r="BS86" s="93"/>
    </row>
    <row r="87" spans="1:75" hidden="1" x14ac:dyDescent="0.25">
      <c r="A87" s="7"/>
      <c r="B87" s="7"/>
      <c r="C87" s="12"/>
      <c r="D87" s="108"/>
      <c r="E87" s="108"/>
      <c r="F87" s="108"/>
      <c r="G87" s="108"/>
      <c r="H87" s="108"/>
      <c r="I87" s="108"/>
      <c r="K87" s="108"/>
      <c r="L87" s="108"/>
      <c r="N87" s="108"/>
      <c r="P87" s="23"/>
      <c r="Q87" s="19"/>
      <c r="R87" s="19"/>
      <c r="S87" s="19"/>
      <c r="T87" s="19"/>
      <c r="U87" s="19"/>
      <c r="V87" s="19"/>
      <c r="W87" s="19"/>
      <c r="X87" s="24"/>
      <c r="Y87" s="24"/>
      <c r="Z87" s="24"/>
      <c r="AA87" s="24"/>
      <c r="AB87" s="24"/>
      <c r="AC87" s="93"/>
      <c r="AD87" s="93"/>
      <c r="AE87" s="93"/>
      <c r="AF87" s="93"/>
      <c r="AG87" s="93"/>
      <c r="AH87" s="93"/>
      <c r="AI87" s="93"/>
      <c r="AJ87" s="93"/>
      <c r="AK87" s="93"/>
      <c r="AL87" s="93"/>
      <c r="AM87" s="93"/>
      <c r="AN87" s="93"/>
      <c r="AO87" s="93"/>
      <c r="AP87" s="93"/>
      <c r="AQ87" s="93"/>
      <c r="AR87" s="93"/>
      <c r="AS87" s="93"/>
      <c r="AT87" s="93"/>
      <c r="AU87" s="93"/>
      <c r="AV87" s="93"/>
      <c r="AW87" s="93"/>
      <c r="AX87" s="93"/>
      <c r="AY87" s="93"/>
      <c r="AZ87" s="93"/>
      <c r="BA87" s="93"/>
      <c r="BB87" s="93"/>
      <c r="BC87" s="93"/>
      <c r="BD87" s="93"/>
      <c r="BE87" s="93"/>
      <c r="BF87" s="93"/>
      <c r="BG87" s="93"/>
      <c r="BH87" s="93"/>
      <c r="BI87" s="93"/>
      <c r="BJ87" s="93"/>
      <c r="BK87" s="93"/>
      <c r="BL87" s="93"/>
      <c r="BM87" s="93"/>
      <c r="BN87" s="93"/>
      <c r="BO87" s="93"/>
      <c r="BP87" s="93"/>
      <c r="BQ87" s="93"/>
      <c r="BR87" s="93"/>
      <c r="BS87" s="93"/>
    </row>
    <row r="88" spans="1:75" hidden="1" x14ac:dyDescent="0.25">
      <c r="A88" s="7"/>
      <c r="B88" s="7"/>
      <c r="C88" s="12"/>
      <c r="D88" s="108"/>
      <c r="E88" s="108"/>
      <c r="F88" s="108"/>
      <c r="G88" s="108"/>
      <c r="H88" s="108"/>
      <c r="I88" s="108"/>
      <c r="K88" s="108"/>
      <c r="L88" s="108"/>
      <c r="N88" s="108"/>
      <c r="P88" s="23"/>
      <c r="Q88" s="19"/>
      <c r="R88" s="19"/>
      <c r="S88" s="19"/>
      <c r="T88" s="19"/>
      <c r="U88" s="19"/>
      <c r="V88" s="19"/>
      <c r="W88" s="19"/>
      <c r="X88" s="24"/>
      <c r="Y88" s="24"/>
      <c r="Z88" s="24"/>
      <c r="AA88" s="24"/>
      <c r="AB88" s="24"/>
      <c r="AC88" s="93"/>
      <c r="AD88" s="93"/>
      <c r="AE88" s="93"/>
      <c r="AF88" s="93"/>
      <c r="AG88" s="93"/>
      <c r="AH88" s="93"/>
      <c r="AI88" s="93"/>
      <c r="AJ88" s="93"/>
      <c r="AK88" s="93"/>
      <c r="AL88" s="93"/>
      <c r="AM88" s="93"/>
      <c r="AN88" s="93"/>
      <c r="AO88" s="93"/>
      <c r="AP88" s="93"/>
      <c r="AQ88" s="93"/>
      <c r="AR88" s="93"/>
      <c r="AS88" s="93"/>
      <c r="AT88" s="93"/>
      <c r="AU88" s="93"/>
      <c r="AV88" s="93"/>
      <c r="AW88" s="93"/>
      <c r="AX88" s="93"/>
      <c r="AY88" s="93"/>
      <c r="AZ88" s="93"/>
      <c r="BA88" s="93"/>
      <c r="BB88" s="93"/>
      <c r="BC88" s="93"/>
      <c r="BD88" s="93"/>
      <c r="BE88" s="93"/>
      <c r="BF88" s="93"/>
      <c r="BG88" s="93"/>
      <c r="BH88" s="93"/>
      <c r="BI88" s="93"/>
      <c r="BJ88" s="93"/>
      <c r="BK88" s="93"/>
      <c r="BL88" s="93"/>
      <c r="BM88" s="93"/>
      <c r="BN88" s="93"/>
      <c r="BO88" s="93"/>
      <c r="BP88" s="93"/>
      <c r="BQ88" s="93"/>
      <c r="BR88" s="93"/>
      <c r="BS88" s="93"/>
    </row>
    <row r="89" spans="1:75" hidden="1" x14ac:dyDescent="0.25">
      <c r="A89" s="7"/>
      <c r="B89" s="7"/>
      <c r="C89" s="12"/>
      <c r="D89" s="108"/>
      <c r="E89" s="108"/>
      <c r="F89" s="108"/>
      <c r="G89" s="108"/>
      <c r="H89" s="108"/>
      <c r="I89" s="108"/>
      <c r="K89" s="108"/>
      <c r="L89" s="108"/>
      <c r="N89" s="108"/>
      <c r="P89" s="23"/>
      <c r="Q89" s="19"/>
      <c r="R89" s="19"/>
      <c r="S89" s="19"/>
      <c r="T89" s="19"/>
      <c r="U89" s="19"/>
      <c r="V89" s="19"/>
      <c r="W89" s="19"/>
      <c r="X89" s="24"/>
      <c r="Y89" s="24"/>
      <c r="Z89" s="24"/>
      <c r="AA89" s="24"/>
      <c r="AB89" s="24"/>
      <c r="AC89" s="93"/>
      <c r="AD89" s="93"/>
      <c r="AE89" s="93"/>
      <c r="AF89" s="93"/>
      <c r="AG89" s="93"/>
      <c r="AH89" s="93"/>
      <c r="AI89" s="93"/>
      <c r="AJ89" s="93"/>
      <c r="AK89" s="93"/>
      <c r="AL89" s="93"/>
      <c r="AM89" s="93"/>
      <c r="AN89" s="93"/>
      <c r="AO89" s="93"/>
      <c r="AP89" s="93"/>
      <c r="AQ89" s="93"/>
      <c r="AR89" s="93"/>
      <c r="AS89" s="93"/>
      <c r="AT89" s="93"/>
      <c r="AU89" s="93"/>
      <c r="AV89" s="93"/>
      <c r="AW89" s="93"/>
      <c r="AX89" s="93"/>
      <c r="AY89" s="93"/>
      <c r="AZ89" s="93"/>
      <c r="BA89" s="93"/>
      <c r="BB89" s="93"/>
      <c r="BC89" s="93"/>
      <c r="BD89" s="93"/>
      <c r="BE89" s="93"/>
      <c r="BF89" s="93"/>
      <c r="BG89" s="93"/>
      <c r="BH89" s="93"/>
      <c r="BI89" s="93"/>
      <c r="BJ89" s="93"/>
      <c r="BK89" s="93"/>
      <c r="BL89" s="93"/>
      <c r="BM89" s="93"/>
      <c r="BN89" s="93"/>
      <c r="BO89" s="93"/>
      <c r="BP89" s="93"/>
      <c r="BQ89" s="93"/>
      <c r="BR89" s="93"/>
      <c r="BS89" s="93"/>
    </row>
    <row r="90" spans="1:75" hidden="1" x14ac:dyDescent="0.25">
      <c r="A90" s="7"/>
      <c r="B90" s="7"/>
      <c r="C90" s="12"/>
      <c r="D90" s="108"/>
      <c r="E90" s="108"/>
      <c r="F90" s="108"/>
      <c r="G90" s="108"/>
      <c r="H90" s="108"/>
      <c r="I90" s="108"/>
      <c r="K90" s="108"/>
      <c r="L90" s="108"/>
      <c r="N90" s="108"/>
      <c r="P90" s="23"/>
      <c r="Q90" s="19"/>
      <c r="R90" s="19"/>
      <c r="S90" s="19"/>
      <c r="T90" s="19"/>
      <c r="U90" s="19"/>
      <c r="V90" s="19"/>
      <c r="W90" s="19"/>
      <c r="X90" s="24"/>
      <c r="Y90" s="24"/>
      <c r="Z90" s="24"/>
      <c r="AA90" s="24"/>
      <c r="AB90" s="24"/>
      <c r="AC90" s="93"/>
      <c r="AD90" s="93"/>
      <c r="AE90" s="93"/>
      <c r="AF90" s="93"/>
      <c r="AG90" s="93"/>
      <c r="AH90" s="93"/>
      <c r="AI90" s="93"/>
      <c r="AJ90" s="93"/>
      <c r="AK90" s="93"/>
      <c r="AL90" s="93"/>
      <c r="AM90" s="93"/>
      <c r="AN90" s="93"/>
      <c r="AO90" s="93"/>
      <c r="AP90" s="93"/>
      <c r="AQ90" s="93"/>
      <c r="AR90" s="93"/>
      <c r="AS90" s="93"/>
      <c r="AT90" s="93"/>
      <c r="AU90" s="93"/>
      <c r="AV90" s="93"/>
      <c r="AW90" s="93"/>
      <c r="AX90" s="93"/>
      <c r="AY90" s="93"/>
      <c r="AZ90" s="93"/>
      <c r="BA90" s="93"/>
      <c r="BB90" s="93"/>
      <c r="BC90" s="93"/>
      <c r="BD90" s="93"/>
      <c r="BE90" s="93"/>
      <c r="BF90" s="93"/>
      <c r="BG90" s="93"/>
      <c r="BH90" s="93"/>
      <c r="BI90" s="93"/>
      <c r="BJ90" s="93"/>
      <c r="BK90" s="93"/>
      <c r="BL90" s="93"/>
      <c r="BM90" s="93"/>
      <c r="BN90" s="93"/>
      <c r="BO90" s="93"/>
      <c r="BP90" s="93"/>
      <c r="BQ90" s="93"/>
      <c r="BR90" s="93"/>
      <c r="BS90" s="93"/>
    </row>
    <row r="91" spans="1:75" hidden="1" x14ac:dyDescent="0.25">
      <c r="A91" s="7"/>
      <c r="B91" s="7"/>
      <c r="C91" s="12"/>
      <c r="D91" s="108"/>
      <c r="E91" s="108"/>
      <c r="F91" s="108"/>
      <c r="G91" s="108"/>
      <c r="H91" s="108"/>
      <c r="I91" s="108"/>
      <c r="K91" s="108"/>
      <c r="L91" s="108"/>
      <c r="N91" s="108"/>
      <c r="P91" s="23"/>
      <c r="Q91" s="19"/>
      <c r="R91" s="19"/>
      <c r="S91" s="19"/>
      <c r="T91" s="19"/>
      <c r="U91" s="19"/>
      <c r="V91" s="19"/>
      <c r="W91" s="19"/>
      <c r="X91" s="24"/>
      <c r="Y91" s="24"/>
      <c r="Z91" s="24"/>
      <c r="AA91" s="24"/>
      <c r="AB91" s="24"/>
      <c r="AC91" s="93"/>
      <c r="AD91" s="93"/>
      <c r="AE91" s="93"/>
      <c r="AF91" s="93"/>
      <c r="AG91" s="93"/>
      <c r="AH91" s="93"/>
      <c r="AI91" s="93"/>
      <c r="AJ91" s="93"/>
      <c r="AK91" s="93"/>
      <c r="AL91" s="93"/>
      <c r="AM91" s="93"/>
      <c r="AN91" s="93"/>
      <c r="AO91" s="93"/>
      <c r="AP91" s="93"/>
      <c r="AQ91" s="93"/>
      <c r="AR91" s="93"/>
      <c r="AS91" s="93"/>
      <c r="AT91" s="93"/>
      <c r="AU91" s="93"/>
      <c r="AV91" s="93"/>
      <c r="AW91" s="93"/>
      <c r="AX91" s="93"/>
      <c r="AY91" s="93"/>
      <c r="AZ91" s="93"/>
      <c r="BA91" s="93"/>
      <c r="BB91" s="93"/>
      <c r="BC91" s="93"/>
      <c r="BD91" s="93"/>
      <c r="BE91" s="93"/>
      <c r="BF91" s="93"/>
      <c r="BG91" s="93"/>
      <c r="BH91" s="93"/>
      <c r="BI91" s="93"/>
      <c r="BJ91" s="93"/>
      <c r="BK91" s="93"/>
      <c r="BL91" s="93"/>
      <c r="BM91" s="93"/>
      <c r="BN91" s="93"/>
      <c r="BO91" s="93"/>
      <c r="BP91" s="93"/>
      <c r="BQ91" s="93"/>
      <c r="BR91" s="93"/>
      <c r="BS91" s="93"/>
    </row>
    <row r="92" spans="1:75" hidden="1" x14ac:dyDescent="0.25">
      <c r="A92" s="7"/>
      <c r="B92" s="7"/>
      <c r="C92" s="12"/>
      <c r="D92" s="27"/>
      <c r="E92" s="27"/>
      <c r="F92" s="27"/>
      <c r="G92" s="27"/>
      <c r="H92" s="27"/>
      <c r="I92" s="27"/>
      <c r="J92" s="26"/>
      <c r="K92" s="27"/>
      <c r="L92" s="27"/>
      <c r="M92" s="26"/>
      <c r="N92" s="27"/>
      <c r="P92" s="23"/>
      <c r="Q92" s="19"/>
      <c r="R92" s="19"/>
      <c r="S92" s="42"/>
      <c r="T92" s="109"/>
      <c r="U92" s="109"/>
      <c r="V92" s="109"/>
      <c r="W92" s="109"/>
      <c r="X92" s="110"/>
      <c r="Y92" s="110"/>
      <c r="Z92" s="110"/>
      <c r="AA92" s="24"/>
      <c r="AB92" s="24"/>
      <c r="AC92" s="93"/>
      <c r="AD92" s="93"/>
      <c r="AE92" s="93"/>
      <c r="AF92" s="93"/>
      <c r="AG92" s="93"/>
      <c r="AH92" s="93"/>
      <c r="AI92" s="93"/>
      <c r="AJ92" s="93"/>
      <c r="AK92" s="93"/>
      <c r="AL92" s="93"/>
      <c r="AM92" s="93"/>
      <c r="AN92" s="93"/>
      <c r="AO92" s="93"/>
      <c r="AP92" s="93"/>
      <c r="AQ92" s="93"/>
      <c r="AR92" s="93"/>
      <c r="AS92" s="93"/>
      <c r="AT92" s="93"/>
      <c r="AU92" s="93"/>
      <c r="AV92" s="93"/>
      <c r="AW92" s="93"/>
      <c r="AX92" s="93"/>
      <c r="AY92" s="93"/>
      <c r="AZ92" s="93"/>
      <c r="BA92" s="93"/>
      <c r="BB92" s="93"/>
      <c r="BC92" s="93"/>
      <c r="BD92" s="93"/>
      <c r="BE92" s="93"/>
      <c r="BF92" s="93"/>
      <c r="BG92" s="93"/>
      <c r="BH92" s="93"/>
      <c r="BI92" s="93"/>
      <c r="BJ92" s="93"/>
      <c r="BK92" s="93"/>
      <c r="BL92" s="93"/>
      <c r="BM92" s="93"/>
      <c r="BN92" s="93"/>
      <c r="BO92" s="93"/>
      <c r="BP92" s="93"/>
      <c r="BQ92" s="93"/>
      <c r="BR92" s="93"/>
      <c r="BS92" s="93"/>
    </row>
    <row r="93" spans="1:75" s="114" customFormat="1" ht="15.75" hidden="1" thickBot="1" x14ac:dyDescent="0.3">
      <c r="A93" s="111"/>
      <c r="B93" s="112"/>
      <c r="C93" s="113" t="s">
        <v>159</v>
      </c>
      <c r="O93" s="116"/>
      <c r="P93" s="115"/>
      <c r="Q93" s="117"/>
      <c r="R93" s="118" t="s">
        <v>160</v>
      </c>
      <c r="S93" s="119"/>
      <c r="T93" s="117"/>
      <c r="U93" s="117"/>
      <c r="V93" s="117"/>
      <c r="W93" s="117"/>
      <c r="X93" s="120"/>
      <c r="Y93" s="120"/>
      <c r="Z93" s="120"/>
      <c r="AA93" s="120"/>
      <c r="AB93" s="120"/>
      <c r="AC93" s="120"/>
      <c r="AD93" s="120"/>
      <c r="AE93" s="120"/>
      <c r="AF93" s="120"/>
      <c r="AG93" s="120"/>
      <c r="AH93" s="120"/>
      <c r="AI93" s="120"/>
      <c r="AJ93" s="120"/>
      <c r="AK93" s="120"/>
      <c r="AL93" s="120"/>
      <c r="AM93" s="120"/>
      <c r="AN93" s="120"/>
      <c r="AO93" s="120"/>
      <c r="AP93" s="120"/>
      <c r="AQ93" s="120"/>
      <c r="AR93" s="120"/>
      <c r="AS93" s="120"/>
      <c r="AT93" s="120"/>
      <c r="AU93" s="120"/>
      <c r="AV93" s="120"/>
      <c r="AW93" s="120"/>
      <c r="AX93" s="120"/>
      <c r="AY93" s="120"/>
      <c r="AZ93" s="120"/>
      <c r="BA93" s="120"/>
      <c r="BB93" s="120"/>
      <c r="BC93" s="120"/>
      <c r="BD93" s="120"/>
      <c r="BE93" s="120"/>
      <c r="BF93" s="120"/>
      <c r="BG93" s="120"/>
      <c r="BH93" s="120"/>
      <c r="BI93" s="120"/>
      <c r="BJ93" s="120"/>
      <c r="BK93" s="120"/>
      <c r="BL93" s="120"/>
      <c r="BM93" s="120"/>
      <c r="BN93" s="120"/>
      <c r="BO93" s="120"/>
      <c r="BP93" s="120"/>
      <c r="BQ93" s="120"/>
      <c r="BR93" s="120"/>
      <c r="BS93" s="120"/>
      <c r="BT93" s="120"/>
      <c r="BU93" s="120"/>
      <c r="BV93" s="120"/>
      <c r="BW93" s="120"/>
    </row>
    <row r="94" spans="1:75" hidden="1" x14ac:dyDescent="0.25">
      <c r="A94" s="18"/>
      <c r="C94" s="121" t="s">
        <v>161</v>
      </c>
      <c r="O94" s="39"/>
      <c r="P94" s="12"/>
      <c r="R94" s="122" t="s">
        <v>162</v>
      </c>
      <c r="S94" s="123">
        <f>6458.33+8726.23+4632.71+18312.72+1141.75</f>
        <v>39271.740000000005</v>
      </c>
      <c r="T94" s="124"/>
      <c r="U94" s="124"/>
      <c r="V94" s="124"/>
      <c r="W94" s="124"/>
      <c r="X94" s="125"/>
      <c r="Y94" s="125"/>
      <c r="Z94" s="125"/>
      <c r="BT94" s="126"/>
      <c r="BU94" s="126"/>
      <c r="BV94" s="126"/>
      <c r="BW94" s="126"/>
    </row>
    <row r="95" spans="1:75" hidden="1" x14ac:dyDescent="0.25">
      <c r="A95" s="18"/>
      <c r="C95" s="127" t="s">
        <v>163</v>
      </c>
      <c r="P95" s="12"/>
      <c r="R95" s="122" t="s">
        <v>164</v>
      </c>
      <c r="S95" s="128">
        <f>11707.31+6260.38+4044.86+14857.88+4447.77</f>
        <v>41318.199999999997</v>
      </c>
      <c r="T95" s="124"/>
      <c r="U95" s="124"/>
      <c r="V95" s="124"/>
      <c r="W95" s="124"/>
      <c r="X95" s="125"/>
      <c r="Y95" s="125"/>
      <c r="Z95" s="125"/>
      <c r="BT95" s="126"/>
      <c r="BU95" s="126"/>
      <c r="BV95" s="126"/>
      <c r="BW95" s="126"/>
    </row>
    <row r="96" spans="1:75" hidden="1" x14ac:dyDescent="0.25">
      <c r="A96" s="18"/>
      <c r="C96" s="129" t="s">
        <v>165</v>
      </c>
      <c r="P96" s="12"/>
      <c r="R96" s="130"/>
      <c r="S96" s="128"/>
      <c r="T96" s="124"/>
      <c r="U96" s="124"/>
      <c r="V96" s="124"/>
      <c r="W96" s="124"/>
      <c r="X96" s="125"/>
      <c r="Y96" s="125"/>
      <c r="Z96" s="125"/>
      <c r="BT96" s="126"/>
      <c r="BU96" s="126"/>
      <c r="BV96" s="126"/>
      <c r="BW96" s="126"/>
    </row>
    <row r="97" spans="1:75" hidden="1" x14ac:dyDescent="0.25">
      <c r="A97" s="18"/>
      <c r="C97" s="129" t="s">
        <v>166</v>
      </c>
      <c r="O97" s="39"/>
      <c r="P97" s="12"/>
      <c r="R97" s="130" t="s">
        <v>167</v>
      </c>
      <c r="S97" s="123">
        <f>31077.18+42303.38+22829.46+90493.93+5818.06</f>
        <v>192522.00999999998</v>
      </c>
      <c r="T97" s="131"/>
      <c r="U97" s="132"/>
      <c r="V97" s="124"/>
      <c r="W97" s="124"/>
      <c r="X97" s="125"/>
      <c r="Y97" s="125"/>
      <c r="Z97" s="125"/>
      <c r="BT97" s="126"/>
      <c r="BU97" s="126"/>
      <c r="BV97" s="126"/>
      <c r="BW97" s="126"/>
    </row>
    <row r="98" spans="1:75" ht="15.75" hidden="1" thickBot="1" x14ac:dyDescent="0.3">
      <c r="A98" s="18"/>
      <c r="C98" s="129" t="s">
        <v>168</v>
      </c>
      <c r="O98" s="39"/>
      <c r="P98" s="28"/>
      <c r="R98" s="133" t="s">
        <v>169</v>
      </c>
      <c r="S98" s="134">
        <f>45155.14+31101.9+22670.65+74289.43+21065.32</f>
        <v>194282.44</v>
      </c>
      <c r="T98" s="124"/>
      <c r="U98" s="124"/>
      <c r="V98" s="124"/>
      <c r="W98" s="124"/>
      <c r="X98" s="125"/>
      <c r="Y98" s="125"/>
      <c r="Z98" s="125"/>
      <c r="AF98" s="63" t="s">
        <v>170</v>
      </c>
      <c r="AG98" s="8"/>
    </row>
    <row r="99" spans="1:75" hidden="1" x14ac:dyDescent="0.25">
      <c r="A99" s="18"/>
      <c r="C99" s="127" t="s">
        <v>171</v>
      </c>
      <c r="P99" s="28"/>
      <c r="R99" s="124"/>
      <c r="T99" s="124"/>
      <c r="U99" s="124"/>
      <c r="V99" s="124"/>
      <c r="W99" s="124"/>
      <c r="X99" s="125"/>
      <c r="Y99" s="125"/>
      <c r="Z99" s="125"/>
      <c r="AF99" s="135">
        <v>2016</v>
      </c>
      <c r="AG99" s="136" t="s">
        <v>172</v>
      </c>
      <c r="AH99" s="137">
        <f>10237.06+258.79+6063.02+5699.41+9732.52+2837.15</f>
        <v>34827.950000000004</v>
      </c>
    </row>
    <row r="100" spans="1:75" hidden="1" x14ac:dyDescent="0.25">
      <c r="A100" s="18"/>
      <c r="C100" s="129" t="s">
        <v>173</v>
      </c>
      <c r="O100" s="39"/>
      <c r="P100" s="28"/>
      <c r="R100" s="124"/>
      <c r="T100" s="124"/>
      <c r="U100" s="124"/>
      <c r="V100" s="124"/>
      <c r="W100" s="124"/>
      <c r="X100" s="125"/>
      <c r="Y100" s="125"/>
      <c r="Z100" s="125"/>
      <c r="AF100" s="138">
        <v>2016</v>
      </c>
      <c r="AG100" s="63" t="s">
        <v>174</v>
      </c>
      <c r="AH100" s="139">
        <f>99544.3+9817.27+29799.07+55520.29+94640.24+11348.6</f>
        <v>300669.77</v>
      </c>
    </row>
    <row r="101" spans="1:75" hidden="1" x14ac:dyDescent="0.25">
      <c r="A101" s="18"/>
      <c r="C101" s="129" t="s">
        <v>175</v>
      </c>
      <c r="O101" s="39"/>
      <c r="P101" s="28"/>
      <c r="R101" s="124"/>
      <c r="S101" s="124"/>
      <c r="T101" s="124"/>
      <c r="U101" s="124"/>
      <c r="V101" s="124"/>
      <c r="W101" s="124"/>
      <c r="X101" s="125"/>
      <c r="Y101" s="125"/>
      <c r="Z101" s="125"/>
      <c r="AF101" s="138"/>
      <c r="AG101" s="63"/>
      <c r="AH101" s="139"/>
    </row>
    <row r="102" spans="1:75" hidden="1" x14ac:dyDescent="0.25">
      <c r="A102" s="18"/>
      <c r="C102" s="127" t="s">
        <v>176</v>
      </c>
      <c r="O102" s="116"/>
      <c r="P102" s="115"/>
      <c r="R102" s="124"/>
      <c r="S102" s="124"/>
      <c r="T102" s="124"/>
      <c r="U102" s="124"/>
      <c r="V102" s="124"/>
      <c r="W102" s="124"/>
      <c r="X102" s="125"/>
      <c r="Y102" s="125"/>
      <c r="Z102" s="125"/>
      <c r="AF102" s="138">
        <v>2015</v>
      </c>
      <c r="AG102" s="8" t="s">
        <v>172</v>
      </c>
      <c r="AH102" s="139">
        <f>12800.51+1372.24+1137.44+10277.75+13206.18</f>
        <v>38794.120000000003</v>
      </c>
    </row>
    <row r="103" spans="1:75" hidden="1" x14ac:dyDescent="0.25">
      <c r="A103" s="18"/>
      <c r="C103" s="140" t="s">
        <v>177</v>
      </c>
      <c r="O103" s="39"/>
      <c r="P103" s="12"/>
      <c r="R103" s="124"/>
      <c r="S103" s="124"/>
      <c r="T103" s="124"/>
      <c r="U103" s="124"/>
      <c r="V103" s="124"/>
      <c r="W103" s="124"/>
      <c r="X103" s="125"/>
      <c r="Y103" s="125"/>
      <c r="Z103" s="125"/>
      <c r="AF103" s="141">
        <v>2015</v>
      </c>
      <c r="AG103" s="142" t="s">
        <v>174</v>
      </c>
      <c r="AH103" s="143">
        <f>105590.28+16147.27+18467.32+34805.26+126637.01</f>
        <v>301647.14</v>
      </c>
    </row>
    <row r="104" spans="1:75" ht="15.75" hidden="1" thickBot="1" x14ac:dyDescent="0.3">
      <c r="A104" s="144"/>
      <c r="C104" s="145" t="s">
        <v>178</v>
      </c>
      <c r="O104" s="39"/>
      <c r="P104" s="12"/>
      <c r="Q104" s="72"/>
      <c r="R104" s="131"/>
      <c r="S104" s="131"/>
      <c r="T104" s="131"/>
      <c r="U104" s="131"/>
      <c r="V104" s="131"/>
      <c r="W104" s="131"/>
      <c r="X104" s="146"/>
      <c r="Y104" s="146"/>
      <c r="Z104" s="146"/>
      <c r="AA104" s="63"/>
      <c r="AB104" s="63"/>
      <c r="AC104" s="147"/>
      <c r="AF104" s="148"/>
      <c r="AG104" s="63"/>
      <c r="AH104" s="147"/>
    </row>
    <row r="105" spans="1:75" hidden="1" x14ac:dyDescent="0.25">
      <c r="C105" s="10" t="s">
        <v>179</v>
      </c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Q105" s="72"/>
      <c r="R105" s="131"/>
      <c r="S105" s="131"/>
      <c r="T105" s="131"/>
      <c r="U105" s="131"/>
      <c r="V105" s="131"/>
      <c r="W105" s="131"/>
      <c r="X105" s="146"/>
      <c r="Y105" s="146"/>
      <c r="Z105" s="146"/>
      <c r="AA105" s="63"/>
      <c r="AB105" s="63"/>
      <c r="AC105" s="147"/>
    </row>
    <row r="106" spans="1:75" hidden="1" x14ac:dyDescent="0.25"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2"/>
      <c r="P106" s="10"/>
      <c r="Q106" s="72"/>
      <c r="R106" s="72"/>
      <c r="S106" s="131"/>
      <c r="T106" s="131"/>
      <c r="U106" s="131"/>
      <c r="V106" s="131"/>
      <c r="W106" s="131"/>
      <c r="X106" s="131"/>
      <c r="Y106" s="146"/>
      <c r="Z106" s="146"/>
      <c r="AA106" s="146"/>
      <c r="AB106" s="63"/>
      <c r="AC106" s="63"/>
      <c r="AD106" s="147"/>
      <c r="BT106" s="126"/>
    </row>
    <row r="107" spans="1:75" hidden="1" x14ac:dyDescent="0.25"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Q107" s="72"/>
      <c r="R107" s="131"/>
      <c r="S107" s="131"/>
      <c r="T107" s="131"/>
      <c r="U107" s="131"/>
      <c r="V107" s="131"/>
      <c r="W107" s="131"/>
      <c r="X107" s="146"/>
      <c r="Y107" s="146"/>
      <c r="Z107" s="146"/>
      <c r="AA107" s="63"/>
      <c r="AB107" s="63"/>
      <c r="AC107" s="147"/>
    </row>
    <row r="108" spans="1:75" hidden="1" x14ac:dyDescent="0.25"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R108" s="124"/>
      <c r="S108" s="124"/>
      <c r="T108" s="124"/>
      <c r="U108" s="124"/>
      <c r="V108" s="124"/>
      <c r="W108" s="124"/>
      <c r="X108" s="125"/>
      <c r="Y108" s="125"/>
      <c r="Z108" s="125"/>
    </row>
    <row r="109" spans="1:75" hidden="1" x14ac:dyDescent="0.25"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R109" s="124"/>
      <c r="S109" s="124"/>
      <c r="T109" s="124"/>
      <c r="U109" s="124"/>
      <c r="V109" s="124"/>
      <c r="W109" s="124"/>
      <c r="X109" s="125"/>
      <c r="Y109" s="125"/>
      <c r="Z109" s="125"/>
    </row>
    <row r="110" spans="1:75" hidden="1" x14ac:dyDescent="0.25"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R110" s="124"/>
      <c r="S110" s="124"/>
      <c r="T110" s="124"/>
      <c r="U110" s="124"/>
      <c r="V110" s="124"/>
      <c r="W110" s="124"/>
      <c r="X110" s="125"/>
      <c r="Y110" s="125"/>
      <c r="Z110" s="125"/>
    </row>
    <row r="111" spans="1:75" hidden="1" x14ac:dyDescent="0.25">
      <c r="C111" s="23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3"/>
      <c r="Q111" s="124"/>
      <c r="R111" s="124"/>
      <c r="S111" s="124"/>
      <c r="T111" s="124"/>
      <c r="U111" s="124"/>
      <c r="V111" s="124"/>
      <c r="W111" s="125"/>
      <c r="X111" s="125"/>
      <c r="Y111" s="125"/>
      <c r="AB111" s="126"/>
      <c r="BS111" s="93"/>
    </row>
    <row r="112" spans="1:75" hidden="1" x14ac:dyDescent="0.25">
      <c r="D112" s="22">
        <v>-419446.06561618997</v>
      </c>
      <c r="E112" s="22">
        <v>-419446.06561618997</v>
      </c>
      <c r="F112" s="22">
        <v>-419446.06561618997</v>
      </c>
      <c r="I112" s="22">
        <v>-419446.06561618997</v>
      </c>
      <c r="R112" s="124"/>
      <c r="S112" s="124"/>
      <c r="T112" s="124"/>
      <c r="U112" s="124"/>
      <c r="V112" s="124"/>
      <c r="W112" s="124"/>
      <c r="X112" s="125"/>
      <c r="Y112" s="125"/>
      <c r="Z112" s="125"/>
    </row>
    <row r="113" spans="3:26" hidden="1" x14ac:dyDescent="0.25">
      <c r="R113" s="124"/>
      <c r="S113" s="124"/>
      <c r="T113" s="124"/>
      <c r="U113" s="124"/>
      <c r="V113" s="124"/>
      <c r="W113" s="124"/>
      <c r="X113" s="125"/>
      <c r="Y113" s="125"/>
      <c r="Z113" s="125"/>
    </row>
    <row r="114" spans="3:26" hidden="1" x14ac:dyDescent="0.25">
      <c r="D114" s="22">
        <f>D70-D112</f>
        <v>303349.06073718658</v>
      </c>
      <c r="E114" s="22">
        <f>E70-E112</f>
        <v>527284.13561618933</v>
      </c>
      <c r="F114" s="22">
        <f>F70-F112</f>
        <v>138922.57495392719</v>
      </c>
      <c r="I114" s="22">
        <v>23649.063075050712</v>
      </c>
      <c r="R114" s="124"/>
      <c r="S114" s="124"/>
      <c r="T114" s="124"/>
      <c r="U114" s="124"/>
      <c r="V114" s="124"/>
      <c r="W114" s="124"/>
      <c r="X114" s="125"/>
      <c r="Y114" s="125"/>
      <c r="Z114" s="125"/>
    </row>
    <row r="115" spans="3:26" hidden="1" x14ac:dyDescent="0.25">
      <c r="R115" s="124"/>
      <c r="S115" s="124"/>
      <c r="T115" s="124"/>
      <c r="U115" s="124"/>
      <c r="V115" s="124"/>
      <c r="W115" s="124"/>
      <c r="X115" s="125"/>
      <c r="Y115" s="125"/>
      <c r="Z115" s="125"/>
    </row>
    <row r="116" spans="3:26" hidden="1" x14ac:dyDescent="0.25">
      <c r="R116" s="124"/>
      <c r="S116" s="124"/>
      <c r="T116" s="124"/>
      <c r="U116" s="124"/>
      <c r="V116" s="124"/>
      <c r="W116" s="124"/>
      <c r="X116" s="125"/>
      <c r="Y116" s="125"/>
      <c r="Z116" s="125"/>
    </row>
    <row r="117" spans="3:26" x14ac:dyDescent="0.25">
      <c r="R117" s="124"/>
      <c r="S117" s="124"/>
      <c r="T117" s="124"/>
      <c r="U117" s="124"/>
      <c r="V117" s="124"/>
      <c r="W117" s="124"/>
      <c r="X117" s="125"/>
      <c r="Y117" s="125"/>
      <c r="Z117" s="125"/>
    </row>
    <row r="118" spans="3:26" x14ac:dyDescent="0.25">
      <c r="C118" s="10" t="s">
        <v>180</v>
      </c>
      <c r="D118" s="22">
        <v>443479.08</v>
      </c>
      <c r="E118" s="22">
        <v>421547.21</v>
      </c>
      <c r="R118" s="124"/>
      <c r="S118" s="124"/>
      <c r="T118" s="124"/>
      <c r="U118" s="124"/>
      <c r="V118" s="124"/>
      <c r="W118" s="124"/>
      <c r="X118" s="125"/>
      <c r="Y118" s="125"/>
      <c r="Z118" s="125"/>
    </row>
    <row r="119" spans="3:26" x14ac:dyDescent="0.25">
      <c r="C119" s="11" t="s">
        <v>181</v>
      </c>
      <c r="D119" s="363">
        <f>D70+D118</f>
        <v>327382.07512099663</v>
      </c>
      <c r="E119" s="363">
        <f>E70+E118</f>
        <v>529385.27999999933</v>
      </c>
      <c r="R119" s="124"/>
      <c r="S119" s="124"/>
      <c r="T119" s="124"/>
      <c r="U119" s="124"/>
      <c r="V119" s="124"/>
      <c r="W119" s="124"/>
      <c r="X119" s="125"/>
      <c r="Y119" s="125"/>
      <c r="Z119" s="125"/>
    </row>
    <row r="120" spans="3:26" x14ac:dyDescent="0.25">
      <c r="R120" s="124"/>
      <c r="S120" s="124"/>
      <c r="T120" s="124"/>
      <c r="U120" s="124"/>
      <c r="V120" s="124"/>
      <c r="W120" s="124"/>
      <c r="X120" s="125"/>
      <c r="Y120" s="125"/>
      <c r="Z120" s="125"/>
    </row>
  </sheetData>
  <autoFilter ref="C28:H45" xr:uid="{8938074F-FF0A-0D47-90B8-D9278C3572EB}">
    <sortState xmlns:xlrd2="http://schemas.microsoft.com/office/spreadsheetml/2017/richdata2" ref="C29:H45">
      <sortCondition ref="C28:C45"/>
    </sortState>
  </autoFilter>
  <pageMargins left="0.23622047244094491" right="0.23622047244094491" top="0.35433070866141736" bottom="0.35433070866141736" header="0" footer="0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20793-2960-304D-8C29-C953B6338200}">
  <sheetPr codeName="Sheet2">
    <tabColor rgb="FFFFFF00"/>
  </sheetPr>
  <dimension ref="A1:P32"/>
  <sheetViews>
    <sheetView topLeftCell="A6" workbookViewId="0">
      <selection activeCell="A24" sqref="A24"/>
    </sheetView>
  </sheetViews>
  <sheetFormatPr defaultColWidth="8.875" defaultRowHeight="15.75" x14ac:dyDescent="0.25"/>
  <cols>
    <col min="1" max="1" width="62.125" customWidth="1"/>
    <col min="2" max="13" width="8.375" customWidth="1"/>
    <col min="14" max="14" width="9.5" bestFit="1" customWidth="1"/>
    <col min="15" max="16" width="9.5" hidden="1" customWidth="1"/>
  </cols>
  <sheetData>
    <row r="1" spans="1:16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6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6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6" ht="18" x14ac:dyDescent="0.25">
      <c r="A4" s="365" t="s">
        <v>185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6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6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188</v>
      </c>
      <c r="O6" s="172" t="s">
        <v>20</v>
      </c>
      <c r="P6" s="172" t="s">
        <v>189</v>
      </c>
    </row>
    <row r="7" spans="1:16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18</v>
      </c>
      <c r="O7" s="172" t="s">
        <v>192</v>
      </c>
      <c r="P7" s="172" t="s">
        <v>18</v>
      </c>
    </row>
    <row r="8" spans="1:16" x14ac:dyDescent="0.25">
      <c r="A8" s="149" t="s">
        <v>193</v>
      </c>
      <c r="B8" s="150">
        <f t="shared" ref="B8:P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  <c r="O8" s="150">
        <f t="shared" si="0"/>
        <v>0</v>
      </c>
      <c r="P8" s="150">
        <f t="shared" si="0"/>
        <v>0</v>
      </c>
    </row>
    <row r="9" spans="1:16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</row>
    <row r="10" spans="1:16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</row>
    <row r="11" spans="1:16" x14ac:dyDescent="0.25">
      <c r="A11" s="154" t="s">
        <v>26</v>
      </c>
      <c r="B11" s="155">
        <v>0</v>
      </c>
      <c r="C11" s="155">
        <v>0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>SUM(B11:M11)</f>
        <v>0</v>
      </c>
      <c r="O11" s="155">
        <f>SUM(C11:N11)</f>
        <v>0</v>
      </c>
      <c r="P11" s="155">
        <f>SUM(D11:O11)</f>
        <v>0</v>
      </c>
    </row>
    <row r="12" spans="1:16" x14ac:dyDescent="0.25">
      <c r="A12" s="156" t="s">
        <v>196</v>
      </c>
      <c r="B12" s="157">
        <f t="shared" ref="B12:N13" si="1">SUM(B11)</f>
        <v>0</v>
      </c>
      <c r="C12" s="157">
        <f t="shared" si="1"/>
        <v>0</v>
      </c>
      <c r="D12" s="157">
        <f t="shared" si="1"/>
        <v>0</v>
      </c>
      <c r="E12" s="157">
        <f t="shared" si="1"/>
        <v>0</v>
      </c>
      <c r="F12" s="157">
        <f t="shared" si="1"/>
        <v>0</v>
      </c>
      <c r="G12" s="157">
        <f t="shared" si="1"/>
        <v>0</v>
      </c>
      <c r="H12" s="157">
        <f t="shared" si="1"/>
        <v>0</v>
      </c>
      <c r="I12" s="157">
        <f t="shared" si="1"/>
        <v>0</v>
      </c>
      <c r="J12" s="157">
        <f t="shared" si="1"/>
        <v>0</v>
      </c>
      <c r="K12" s="157">
        <f t="shared" si="1"/>
        <v>0</v>
      </c>
      <c r="L12" s="157">
        <f t="shared" si="1"/>
        <v>0</v>
      </c>
      <c r="M12" s="157">
        <f t="shared" si="1"/>
        <v>0</v>
      </c>
      <c r="N12" s="157">
        <f t="shared" si="1"/>
        <v>0</v>
      </c>
      <c r="O12" s="157">
        <f>SUM(O11)</f>
        <v>0</v>
      </c>
      <c r="P12" s="157">
        <f>SUM(P11)</f>
        <v>0</v>
      </c>
    </row>
    <row r="13" spans="1:16" x14ac:dyDescent="0.25">
      <c r="A13" s="158" t="s">
        <v>197</v>
      </c>
      <c r="B13" s="157">
        <f t="shared" si="1"/>
        <v>0</v>
      </c>
      <c r="C13" s="157">
        <f t="shared" si="1"/>
        <v>0</v>
      </c>
      <c r="D13" s="157">
        <f t="shared" si="1"/>
        <v>0</v>
      </c>
      <c r="E13" s="157">
        <f t="shared" si="1"/>
        <v>0</v>
      </c>
      <c r="F13" s="157">
        <f t="shared" si="1"/>
        <v>0</v>
      </c>
      <c r="G13" s="157">
        <f t="shared" si="1"/>
        <v>0</v>
      </c>
      <c r="H13" s="157">
        <f t="shared" si="1"/>
        <v>0</v>
      </c>
      <c r="I13" s="157">
        <f t="shared" si="1"/>
        <v>0</v>
      </c>
      <c r="J13" s="157">
        <f t="shared" si="1"/>
        <v>0</v>
      </c>
      <c r="K13" s="157">
        <f t="shared" si="1"/>
        <v>0</v>
      </c>
      <c r="L13" s="157">
        <f t="shared" si="1"/>
        <v>0</v>
      </c>
      <c r="M13" s="157">
        <f t="shared" si="1"/>
        <v>0</v>
      </c>
      <c r="N13" s="157">
        <f t="shared" si="1"/>
        <v>0</v>
      </c>
      <c r="O13" s="157">
        <f>SUM(O12)</f>
        <v>0</v>
      </c>
      <c r="P13" s="157">
        <f>SUM(P12)</f>
        <v>0</v>
      </c>
    </row>
    <row r="14" spans="1:16" x14ac:dyDescent="0.25">
      <c r="A14" s="149" t="s">
        <v>198</v>
      </c>
      <c r="B14" s="150">
        <f t="shared" ref="B14:N14" si="2">B8-B13</f>
        <v>0</v>
      </c>
      <c r="C14" s="150">
        <f t="shared" si="2"/>
        <v>0</v>
      </c>
      <c r="D14" s="150">
        <f t="shared" si="2"/>
        <v>0</v>
      </c>
      <c r="E14" s="150">
        <f t="shared" si="2"/>
        <v>0</v>
      </c>
      <c r="F14" s="150">
        <f t="shared" si="2"/>
        <v>0</v>
      </c>
      <c r="G14" s="150">
        <f t="shared" si="2"/>
        <v>0</v>
      </c>
      <c r="H14" s="150">
        <f t="shared" si="2"/>
        <v>0</v>
      </c>
      <c r="I14" s="150">
        <f t="shared" si="2"/>
        <v>0</v>
      </c>
      <c r="J14" s="150">
        <f t="shared" si="2"/>
        <v>0</v>
      </c>
      <c r="K14" s="150">
        <f t="shared" si="2"/>
        <v>0</v>
      </c>
      <c r="L14" s="150">
        <f t="shared" si="2"/>
        <v>0</v>
      </c>
      <c r="M14" s="150">
        <f t="shared" si="2"/>
        <v>0</v>
      </c>
      <c r="N14" s="150">
        <f t="shared" si="2"/>
        <v>0</v>
      </c>
      <c r="O14" s="150">
        <f>O8-O13</f>
        <v>0</v>
      </c>
      <c r="P14" s="150">
        <f>P8-P13</f>
        <v>0</v>
      </c>
    </row>
    <row r="15" spans="1:16" x14ac:dyDescent="0.25">
      <c r="A15" s="151" t="s">
        <v>199</v>
      </c>
      <c r="B15" s="152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</row>
    <row r="16" spans="1:16" x14ac:dyDescent="0.25">
      <c r="A16" s="153" t="s">
        <v>200</v>
      </c>
      <c r="B16" s="152"/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</row>
    <row r="17" spans="1:16" x14ac:dyDescent="0.25">
      <c r="A17" s="154" t="s">
        <v>139</v>
      </c>
      <c r="B17" s="155">
        <v>23000</v>
      </c>
      <c r="C17" s="155">
        <f>B17</f>
        <v>23000</v>
      </c>
      <c r="D17" s="155">
        <f t="shared" ref="D17:M17" si="3">C17</f>
        <v>23000</v>
      </c>
      <c r="E17" s="155">
        <f t="shared" si="3"/>
        <v>23000</v>
      </c>
      <c r="F17" s="155">
        <f t="shared" si="3"/>
        <v>23000</v>
      </c>
      <c r="G17" s="155">
        <f t="shared" si="3"/>
        <v>23000</v>
      </c>
      <c r="H17" s="155">
        <f t="shared" si="3"/>
        <v>23000</v>
      </c>
      <c r="I17" s="155">
        <f t="shared" si="3"/>
        <v>23000</v>
      </c>
      <c r="J17" s="155">
        <f t="shared" si="3"/>
        <v>23000</v>
      </c>
      <c r="K17" s="155">
        <f t="shared" si="3"/>
        <v>23000</v>
      </c>
      <c r="L17" s="155">
        <f t="shared" si="3"/>
        <v>23000</v>
      </c>
      <c r="M17" s="155">
        <f t="shared" si="3"/>
        <v>23000</v>
      </c>
      <c r="N17" s="155">
        <f>SUM(B17:M17)</f>
        <v>276000</v>
      </c>
      <c r="O17" s="155">
        <v>0</v>
      </c>
      <c r="P17" s="155">
        <f>N17</f>
        <v>276000</v>
      </c>
    </row>
    <row r="18" spans="1:16" x14ac:dyDescent="0.25">
      <c r="A18" s="154" t="s">
        <v>141</v>
      </c>
      <c r="B18" s="155"/>
      <c r="C18" s="155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55">
        <v>0</v>
      </c>
      <c r="O18" s="155">
        <v>240</v>
      </c>
      <c r="P18" s="155">
        <f>O18</f>
        <v>240</v>
      </c>
    </row>
    <row r="19" spans="1:16" x14ac:dyDescent="0.25">
      <c r="A19" s="156" t="s">
        <v>201</v>
      </c>
      <c r="B19" s="157">
        <f t="shared" ref="B19:M19" si="4">SUM(B17)</f>
        <v>23000</v>
      </c>
      <c r="C19" s="157">
        <f t="shared" si="4"/>
        <v>23000</v>
      </c>
      <c r="D19" s="157">
        <f t="shared" si="4"/>
        <v>23000</v>
      </c>
      <c r="E19" s="157">
        <f t="shared" si="4"/>
        <v>23000</v>
      </c>
      <c r="F19" s="157">
        <f t="shared" si="4"/>
        <v>23000</v>
      </c>
      <c r="G19" s="157">
        <f t="shared" si="4"/>
        <v>23000</v>
      </c>
      <c r="H19" s="157">
        <f t="shared" si="4"/>
        <v>23000</v>
      </c>
      <c r="I19" s="157">
        <f t="shared" si="4"/>
        <v>23000</v>
      </c>
      <c r="J19" s="157">
        <f t="shared" si="4"/>
        <v>23000</v>
      </c>
      <c r="K19" s="157">
        <f t="shared" si="4"/>
        <v>23000</v>
      </c>
      <c r="L19" s="157">
        <f t="shared" si="4"/>
        <v>23000</v>
      </c>
      <c r="M19" s="157">
        <f t="shared" si="4"/>
        <v>23000</v>
      </c>
      <c r="N19" s="157">
        <f>SUM(N17:N18)</f>
        <v>276000</v>
      </c>
      <c r="O19" s="157">
        <f>SUM(O17:O18)</f>
        <v>240</v>
      </c>
      <c r="P19" s="157">
        <f>SUM(P17:P18)</f>
        <v>276240</v>
      </c>
    </row>
    <row r="20" spans="1:16" x14ac:dyDescent="0.25">
      <c r="A20" s="153" t="s">
        <v>202</v>
      </c>
      <c r="B20" s="152"/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</row>
    <row r="21" spans="1:16" x14ac:dyDescent="0.25">
      <c r="A21" s="154" t="s">
        <v>25</v>
      </c>
      <c r="B21" s="155">
        <v>0</v>
      </c>
      <c r="C21" s="155">
        <v>200</v>
      </c>
      <c r="D21" s="155">
        <v>1000</v>
      </c>
      <c r="E21" s="155">
        <v>700</v>
      </c>
      <c r="F21" s="155">
        <v>700</v>
      </c>
      <c r="G21" s="155">
        <v>200</v>
      </c>
      <c r="H21" s="155">
        <v>200</v>
      </c>
      <c r="I21" s="155">
        <v>0</v>
      </c>
      <c r="J21" s="155">
        <v>0</v>
      </c>
      <c r="K21" s="155">
        <v>0</v>
      </c>
      <c r="L21" s="155">
        <v>0</v>
      </c>
      <c r="M21" s="155">
        <v>0</v>
      </c>
      <c r="N21" s="155">
        <f>SUM(B21:M21)</f>
        <v>3000</v>
      </c>
      <c r="O21" s="155">
        <v>1448.87</v>
      </c>
      <c r="P21" s="155">
        <v>2000</v>
      </c>
    </row>
    <row r="22" spans="1:16" x14ac:dyDescent="0.25">
      <c r="A22" s="156" t="s">
        <v>203</v>
      </c>
      <c r="B22" s="157">
        <f t="shared" ref="B22:P22" si="5">SUM(B21)</f>
        <v>0</v>
      </c>
      <c r="C22" s="157">
        <f t="shared" si="5"/>
        <v>200</v>
      </c>
      <c r="D22" s="157">
        <f t="shared" si="5"/>
        <v>1000</v>
      </c>
      <c r="E22" s="157">
        <f t="shared" si="5"/>
        <v>700</v>
      </c>
      <c r="F22" s="157">
        <f t="shared" si="5"/>
        <v>700</v>
      </c>
      <c r="G22" s="157">
        <f t="shared" si="5"/>
        <v>200</v>
      </c>
      <c r="H22" s="157">
        <f t="shared" si="5"/>
        <v>200</v>
      </c>
      <c r="I22" s="157">
        <f t="shared" si="5"/>
        <v>0</v>
      </c>
      <c r="J22" s="157">
        <f t="shared" si="5"/>
        <v>0</v>
      </c>
      <c r="K22" s="157">
        <f t="shared" si="5"/>
        <v>0</v>
      </c>
      <c r="L22" s="157">
        <f t="shared" si="5"/>
        <v>0</v>
      </c>
      <c r="M22" s="157">
        <f t="shared" si="5"/>
        <v>0</v>
      </c>
      <c r="N22" s="157">
        <f t="shared" si="5"/>
        <v>3000</v>
      </c>
      <c r="O22" s="157">
        <f t="shared" si="5"/>
        <v>1448.87</v>
      </c>
      <c r="P22" s="157">
        <f t="shared" si="5"/>
        <v>2000</v>
      </c>
    </row>
    <row r="23" spans="1:16" x14ac:dyDescent="0.25">
      <c r="A23" s="153" t="s">
        <v>204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2"/>
    </row>
    <row r="24" spans="1:16" x14ac:dyDescent="0.25">
      <c r="A24" s="154" t="s">
        <v>22</v>
      </c>
      <c r="B24" s="155">
        <v>333500</v>
      </c>
      <c r="C24" s="155">
        <v>333500</v>
      </c>
      <c r="D24" s="155">
        <v>333500</v>
      </c>
      <c r="E24" s="155">
        <v>333500</v>
      </c>
      <c r="F24" s="155">
        <v>333500</v>
      </c>
      <c r="G24" s="155">
        <v>333500</v>
      </c>
      <c r="H24" s="155">
        <v>333500</v>
      </c>
      <c r="I24" s="155">
        <v>333500</v>
      </c>
      <c r="J24" s="155">
        <v>333500</v>
      </c>
      <c r="K24" s="155">
        <v>333500</v>
      </c>
      <c r="L24" s="155">
        <v>333500</v>
      </c>
      <c r="M24" s="155">
        <v>331500</v>
      </c>
      <c r="N24" s="155">
        <f>SUM(B24:M24)</f>
        <v>4000000</v>
      </c>
      <c r="O24" s="155">
        <v>1499250</v>
      </c>
      <c r="P24" s="155">
        <f>N24</f>
        <v>4000000</v>
      </c>
    </row>
    <row r="25" spans="1:16" x14ac:dyDescent="0.25">
      <c r="A25" s="156" t="s">
        <v>205</v>
      </c>
      <c r="B25" s="157">
        <f t="shared" ref="B25:N25" si="6">SUM(B24)</f>
        <v>333500</v>
      </c>
      <c r="C25" s="157">
        <f t="shared" si="6"/>
        <v>333500</v>
      </c>
      <c r="D25" s="157">
        <f t="shared" si="6"/>
        <v>333500</v>
      </c>
      <c r="E25" s="157">
        <f t="shared" si="6"/>
        <v>333500</v>
      </c>
      <c r="F25" s="157">
        <f t="shared" si="6"/>
        <v>333500</v>
      </c>
      <c r="G25" s="157">
        <f t="shared" si="6"/>
        <v>333500</v>
      </c>
      <c r="H25" s="157">
        <f t="shared" si="6"/>
        <v>333500</v>
      </c>
      <c r="I25" s="157">
        <f t="shared" si="6"/>
        <v>333500</v>
      </c>
      <c r="J25" s="157">
        <f t="shared" si="6"/>
        <v>333500</v>
      </c>
      <c r="K25" s="157">
        <f t="shared" si="6"/>
        <v>333500</v>
      </c>
      <c r="L25" s="157">
        <f t="shared" si="6"/>
        <v>333500</v>
      </c>
      <c r="M25" s="157">
        <f t="shared" si="6"/>
        <v>331500</v>
      </c>
      <c r="N25" s="157">
        <f t="shared" si="6"/>
        <v>4000000</v>
      </c>
      <c r="O25" s="157">
        <f>SUM(O24)</f>
        <v>1499250</v>
      </c>
      <c r="P25" s="157">
        <f>SUM(P24)</f>
        <v>4000000</v>
      </c>
    </row>
    <row r="26" spans="1:16" x14ac:dyDescent="0.25">
      <c r="A26" s="158" t="s">
        <v>206</v>
      </c>
      <c r="B26" s="157">
        <f t="shared" ref="B26:N26" si="7">SUM(B19,B22,B25)</f>
        <v>356500</v>
      </c>
      <c r="C26" s="157">
        <f t="shared" si="7"/>
        <v>356700</v>
      </c>
      <c r="D26" s="157">
        <f t="shared" si="7"/>
        <v>357500</v>
      </c>
      <c r="E26" s="157">
        <f t="shared" si="7"/>
        <v>357200</v>
      </c>
      <c r="F26" s="157">
        <f t="shared" si="7"/>
        <v>357200</v>
      </c>
      <c r="G26" s="157">
        <f t="shared" si="7"/>
        <v>356700</v>
      </c>
      <c r="H26" s="157">
        <f t="shared" si="7"/>
        <v>356700</v>
      </c>
      <c r="I26" s="157">
        <f t="shared" si="7"/>
        <v>356500</v>
      </c>
      <c r="J26" s="157">
        <f t="shared" si="7"/>
        <v>356500</v>
      </c>
      <c r="K26" s="157">
        <f t="shared" si="7"/>
        <v>356500</v>
      </c>
      <c r="L26" s="157">
        <f t="shared" si="7"/>
        <v>356500</v>
      </c>
      <c r="M26" s="157">
        <f t="shared" si="7"/>
        <v>354500</v>
      </c>
      <c r="N26" s="157">
        <f t="shared" si="7"/>
        <v>4279000</v>
      </c>
      <c r="O26" s="157">
        <f>SUM(O19,O22,O25)</f>
        <v>1500938.87</v>
      </c>
      <c r="P26" s="157">
        <f>SUM(P19,P22,P25)</f>
        <v>4278240</v>
      </c>
    </row>
    <row r="27" spans="1:16" x14ac:dyDescent="0.25">
      <c r="A27" s="151" t="s">
        <v>207</v>
      </c>
      <c r="B27" s="152"/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2"/>
    </row>
    <row r="28" spans="1:16" x14ac:dyDescent="0.25">
      <c r="A28" s="153" t="s">
        <v>208</v>
      </c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  <row r="29" spans="1:16" x14ac:dyDescent="0.25">
      <c r="A29" s="154" t="s">
        <v>144</v>
      </c>
      <c r="B29" s="155">
        <v>-1250</v>
      </c>
      <c r="C29" s="155">
        <v>-1250</v>
      </c>
      <c r="D29" s="155">
        <v>-1250</v>
      </c>
      <c r="E29" s="155">
        <v>-1250</v>
      </c>
      <c r="F29" s="155">
        <v>-1250</v>
      </c>
      <c r="G29" s="155">
        <v>-1250</v>
      </c>
      <c r="H29" s="155">
        <v>-1250</v>
      </c>
      <c r="I29" s="155">
        <v>-1250</v>
      </c>
      <c r="J29" s="155">
        <v>-1250</v>
      </c>
      <c r="K29" s="155">
        <v>-1250</v>
      </c>
      <c r="L29" s="155">
        <v>-1250</v>
      </c>
      <c r="M29" s="155">
        <v>-1250</v>
      </c>
      <c r="N29" s="155">
        <f>SUM(B29:M29)</f>
        <v>-15000</v>
      </c>
      <c r="O29" s="155">
        <v>0</v>
      </c>
      <c r="P29" s="155">
        <v>-15000</v>
      </c>
    </row>
    <row r="30" spans="1:16" x14ac:dyDescent="0.25">
      <c r="A30" s="156" t="s">
        <v>209</v>
      </c>
      <c r="B30" s="157">
        <f t="shared" ref="B30:N31" si="8">SUM(B29)</f>
        <v>-1250</v>
      </c>
      <c r="C30" s="157">
        <f t="shared" si="8"/>
        <v>-1250</v>
      </c>
      <c r="D30" s="157">
        <f t="shared" si="8"/>
        <v>-1250</v>
      </c>
      <c r="E30" s="157">
        <f t="shared" si="8"/>
        <v>-1250</v>
      </c>
      <c r="F30" s="157">
        <f t="shared" si="8"/>
        <v>-1250</v>
      </c>
      <c r="G30" s="157">
        <f t="shared" si="8"/>
        <v>-1250</v>
      </c>
      <c r="H30" s="157">
        <f t="shared" si="8"/>
        <v>-1250</v>
      </c>
      <c r="I30" s="157">
        <f t="shared" si="8"/>
        <v>-1250</v>
      </c>
      <c r="J30" s="157">
        <f t="shared" si="8"/>
        <v>-1250</v>
      </c>
      <c r="K30" s="157">
        <f t="shared" si="8"/>
        <v>-1250</v>
      </c>
      <c r="L30" s="157">
        <f t="shared" si="8"/>
        <v>-1250</v>
      </c>
      <c r="M30" s="157">
        <f t="shared" si="8"/>
        <v>-1250</v>
      </c>
      <c r="N30" s="157">
        <f t="shared" si="8"/>
        <v>-15000</v>
      </c>
      <c r="O30" s="157">
        <f>SUM(O29)</f>
        <v>0</v>
      </c>
      <c r="P30" s="157">
        <f>SUM(P29)</f>
        <v>-15000</v>
      </c>
    </row>
    <row r="31" spans="1:16" x14ac:dyDescent="0.25">
      <c r="A31" s="158" t="s">
        <v>210</v>
      </c>
      <c r="B31" s="157">
        <f t="shared" si="8"/>
        <v>-1250</v>
      </c>
      <c r="C31" s="157">
        <f t="shared" si="8"/>
        <v>-1250</v>
      </c>
      <c r="D31" s="157">
        <f t="shared" si="8"/>
        <v>-1250</v>
      </c>
      <c r="E31" s="157">
        <f t="shared" si="8"/>
        <v>-1250</v>
      </c>
      <c r="F31" s="157">
        <f t="shared" si="8"/>
        <v>-1250</v>
      </c>
      <c r="G31" s="157">
        <f t="shared" si="8"/>
        <v>-1250</v>
      </c>
      <c r="H31" s="157">
        <f t="shared" si="8"/>
        <v>-1250</v>
      </c>
      <c r="I31" s="157">
        <f t="shared" si="8"/>
        <v>-1250</v>
      </c>
      <c r="J31" s="157">
        <f t="shared" si="8"/>
        <v>-1250</v>
      </c>
      <c r="K31" s="157">
        <f t="shared" si="8"/>
        <v>-1250</v>
      </c>
      <c r="L31" s="157">
        <f t="shared" si="8"/>
        <v>-1250</v>
      </c>
      <c r="M31" s="157">
        <f t="shared" si="8"/>
        <v>-1250</v>
      </c>
      <c r="N31" s="157">
        <f t="shared" si="8"/>
        <v>-15000</v>
      </c>
      <c r="O31" s="157">
        <f>SUM(O30)</f>
        <v>0</v>
      </c>
      <c r="P31" s="157">
        <f>SUM(P30)</f>
        <v>-15000</v>
      </c>
    </row>
    <row r="32" spans="1:16" x14ac:dyDescent="0.25">
      <c r="A32" s="149" t="s">
        <v>31</v>
      </c>
      <c r="B32" s="150">
        <f t="shared" ref="B32:N32" si="9">B14+B26+B31</f>
        <v>355250</v>
      </c>
      <c r="C32" s="150">
        <f t="shared" si="9"/>
        <v>355450</v>
      </c>
      <c r="D32" s="150">
        <f t="shared" si="9"/>
        <v>356250</v>
      </c>
      <c r="E32" s="150">
        <f t="shared" si="9"/>
        <v>355950</v>
      </c>
      <c r="F32" s="150">
        <f t="shared" si="9"/>
        <v>355950</v>
      </c>
      <c r="G32" s="150">
        <f t="shared" si="9"/>
        <v>355450</v>
      </c>
      <c r="H32" s="150">
        <f t="shared" si="9"/>
        <v>355450</v>
      </c>
      <c r="I32" s="150">
        <f t="shared" si="9"/>
        <v>355250</v>
      </c>
      <c r="J32" s="150">
        <f t="shared" si="9"/>
        <v>355250</v>
      </c>
      <c r="K32" s="150">
        <f t="shared" si="9"/>
        <v>355250</v>
      </c>
      <c r="L32" s="150">
        <f t="shared" si="9"/>
        <v>355250</v>
      </c>
      <c r="M32" s="150">
        <f t="shared" si="9"/>
        <v>353250</v>
      </c>
      <c r="N32" s="150">
        <f t="shared" si="9"/>
        <v>4264000</v>
      </c>
      <c r="O32" s="150">
        <f>O14+O26+O31</f>
        <v>1500938.87</v>
      </c>
      <c r="P32" s="150">
        <f>P14+P26+P31</f>
        <v>4263240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A1E8A-21DA-6346-A21F-AE06FD92EDF8}">
  <sheetPr codeName="Sheet3">
    <tabColor rgb="FFFFFF00"/>
  </sheetPr>
  <dimension ref="A1:N40"/>
  <sheetViews>
    <sheetView workbookViewId="0">
      <pane xSplit="1" ySplit="7" topLeftCell="B11" activePane="bottomRight" state="frozen"/>
      <selection pane="topRight" activeCell="K36" sqref="K36"/>
      <selection pane="bottomLeft" activeCell="K36" sqref="K36"/>
      <selection pane="bottomRight" activeCell="A26" sqref="A26"/>
    </sheetView>
  </sheetViews>
  <sheetFormatPr defaultColWidth="8.875" defaultRowHeight="15.75" x14ac:dyDescent="0.25"/>
  <cols>
    <col min="1" max="1" width="67.125" bestFit="1" customWidth="1"/>
    <col min="2" max="13" width="8.125" bestFit="1" customWidth="1"/>
    <col min="14" max="14" width="8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211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212</v>
      </c>
      <c r="B11" s="155">
        <v>2300</v>
      </c>
      <c r="C11" s="155">
        <v>2300</v>
      </c>
      <c r="D11" s="155">
        <v>2300</v>
      </c>
      <c r="E11" s="155">
        <v>2300</v>
      </c>
      <c r="F11" s="155">
        <v>2300</v>
      </c>
      <c r="G11" s="155">
        <v>2300</v>
      </c>
      <c r="H11" s="155">
        <v>2300</v>
      </c>
      <c r="I11" s="155">
        <v>2300</v>
      </c>
      <c r="J11" s="155">
        <v>2300</v>
      </c>
      <c r="K11" s="155">
        <v>2300</v>
      </c>
      <c r="L11" s="155">
        <v>2300</v>
      </c>
      <c r="M11" s="155">
        <v>2300</v>
      </c>
      <c r="N11" s="155">
        <f t="shared" ref="N11:N20" si="1">SUM(B11:M11)</f>
        <v>27600</v>
      </c>
    </row>
    <row r="12" spans="1:14" x14ac:dyDescent="0.25">
      <c r="A12" s="154" t="s">
        <v>213</v>
      </c>
      <c r="B12" s="155">
        <v>0</v>
      </c>
      <c r="C12" s="155">
        <v>0</v>
      </c>
      <c r="D12" s="155">
        <v>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0</v>
      </c>
    </row>
    <row r="13" spans="1:14" x14ac:dyDescent="0.25">
      <c r="A13" s="154" t="s">
        <v>214</v>
      </c>
      <c r="B13" s="155">
        <v>6000</v>
      </c>
      <c r="C13" s="155">
        <v>6000</v>
      </c>
      <c r="D13" s="155">
        <v>6000</v>
      </c>
      <c r="E13" s="155">
        <v>6000</v>
      </c>
      <c r="F13" s="155">
        <v>6000</v>
      </c>
      <c r="G13" s="155">
        <v>6000</v>
      </c>
      <c r="H13" s="155">
        <v>6000</v>
      </c>
      <c r="I13" s="155">
        <v>6000</v>
      </c>
      <c r="J13" s="155">
        <v>6000</v>
      </c>
      <c r="K13" s="155">
        <v>6000</v>
      </c>
      <c r="L13" s="155">
        <v>6000</v>
      </c>
      <c r="M13" s="155">
        <v>6000</v>
      </c>
      <c r="N13" s="155">
        <f t="shared" si="1"/>
        <v>72000</v>
      </c>
    </row>
    <row r="14" spans="1:14" x14ac:dyDescent="0.25">
      <c r="A14" s="154" t="s">
        <v>215</v>
      </c>
      <c r="B14" s="155">
        <v>20000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20000</v>
      </c>
    </row>
    <row r="15" spans="1:14" x14ac:dyDescent="0.25">
      <c r="A15" s="154" t="s">
        <v>216</v>
      </c>
      <c r="B15" s="155">
        <v>0</v>
      </c>
      <c r="C15" s="155">
        <v>0</v>
      </c>
      <c r="D15" s="155">
        <v>0</v>
      </c>
      <c r="E15" s="155">
        <v>0</v>
      </c>
      <c r="F15" s="155">
        <v>0</v>
      </c>
      <c r="G15" s="155">
        <v>0</v>
      </c>
      <c r="H15" s="155">
        <v>750</v>
      </c>
      <c r="I15" s="155">
        <v>100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si="1"/>
        <v>850</v>
      </c>
    </row>
    <row r="16" spans="1:14" x14ac:dyDescent="0.25">
      <c r="A16" s="154" t="s">
        <v>217</v>
      </c>
      <c r="B16" s="155">
        <v>125</v>
      </c>
      <c r="C16" s="155">
        <v>125</v>
      </c>
      <c r="D16" s="155">
        <v>125</v>
      </c>
      <c r="E16" s="155">
        <v>125</v>
      </c>
      <c r="F16" s="155">
        <v>125</v>
      </c>
      <c r="G16" s="155">
        <v>125</v>
      </c>
      <c r="H16" s="155">
        <v>125</v>
      </c>
      <c r="I16" s="155">
        <v>125</v>
      </c>
      <c r="J16" s="155">
        <v>125</v>
      </c>
      <c r="K16" s="155">
        <v>125</v>
      </c>
      <c r="L16" s="155">
        <v>125</v>
      </c>
      <c r="M16" s="155">
        <v>125</v>
      </c>
      <c r="N16" s="155">
        <f t="shared" si="1"/>
        <v>1500</v>
      </c>
    </row>
    <row r="17" spans="1:14" x14ac:dyDescent="0.25">
      <c r="A17" s="154" t="s">
        <v>218</v>
      </c>
      <c r="B17" s="155">
        <v>750</v>
      </c>
      <c r="C17" s="155">
        <v>750</v>
      </c>
      <c r="D17" s="155">
        <v>750</v>
      </c>
      <c r="E17" s="155">
        <v>750</v>
      </c>
      <c r="F17" s="155">
        <v>750</v>
      </c>
      <c r="G17" s="155">
        <v>750</v>
      </c>
      <c r="H17" s="155">
        <v>750</v>
      </c>
      <c r="I17" s="155">
        <v>750</v>
      </c>
      <c r="J17" s="155">
        <v>750</v>
      </c>
      <c r="K17" s="155">
        <v>750</v>
      </c>
      <c r="L17" s="155">
        <v>750</v>
      </c>
      <c r="M17" s="155">
        <v>750</v>
      </c>
      <c r="N17" s="155">
        <f t="shared" si="1"/>
        <v>9000</v>
      </c>
    </row>
    <row r="18" spans="1:14" x14ac:dyDescent="0.25">
      <c r="A18" s="154" t="s">
        <v>219</v>
      </c>
      <c r="B18" s="155">
        <v>716.39</v>
      </c>
      <c r="C18" s="155">
        <v>716.39</v>
      </c>
      <c r="D18" s="155">
        <v>716.39</v>
      </c>
      <c r="E18" s="155">
        <v>716.39</v>
      </c>
      <c r="F18" s="155">
        <v>716.39</v>
      </c>
      <c r="G18" s="155">
        <v>716.39</v>
      </c>
      <c r="H18" s="155">
        <v>716.39</v>
      </c>
      <c r="I18" s="155">
        <v>716.39</v>
      </c>
      <c r="J18" s="155">
        <v>716.39</v>
      </c>
      <c r="K18" s="155">
        <v>716.39</v>
      </c>
      <c r="L18" s="155">
        <v>716.39</v>
      </c>
      <c r="M18" s="155">
        <v>716.39</v>
      </c>
      <c r="N18" s="155">
        <f t="shared" si="1"/>
        <v>8596.6800000000021</v>
      </c>
    </row>
    <row r="19" spans="1:14" x14ac:dyDescent="0.25">
      <c r="A19" s="154" t="s">
        <v>220</v>
      </c>
      <c r="B19" s="155">
        <v>0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1"/>
        <v>0</v>
      </c>
    </row>
    <row r="20" spans="1:14" x14ac:dyDescent="0.25">
      <c r="A20" s="154" t="s">
        <v>221</v>
      </c>
      <c r="B20" s="155">
        <v>11931.78</v>
      </c>
      <c r="C20" s="155">
        <v>11923.64</v>
      </c>
      <c r="D20" s="155">
        <v>11923.64</v>
      </c>
      <c r="E20" s="155">
        <v>11923.64</v>
      </c>
      <c r="F20" s="155">
        <v>11923.64</v>
      </c>
      <c r="G20" s="155">
        <v>11923.64</v>
      </c>
      <c r="H20" s="155">
        <v>11923.64</v>
      </c>
      <c r="I20" s="155">
        <v>11923.64</v>
      </c>
      <c r="J20" s="155">
        <v>11923.64</v>
      </c>
      <c r="K20" s="155">
        <v>11923.64</v>
      </c>
      <c r="L20" s="155">
        <v>11923.64</v>
      </c>
      <c r="M20" s="155">
        <v>11923.64</v>
      </c>
      <c r="N20" s="155">
        <f t="shared" si="1"/>
        <v>143091.82</v>
      </c>
    </row>
    <row r="21" spans="1:14" x14ac:dyDescent="0.25">
      <c r="A21" s="156" t="s">
        <v>196</v>
      </c>
      <c r="B21" s="157">
        <f t="shared" ref="B21:N21" si="2">SUM(B11:B20)</f>
        <v>41823.17</v>
      </c>
      <c r="C21" s="157">
        <f t="shared" si="2"/>
        <v>21815.03</v>
      </c>
      <c r="D21" s="157">
        <f t="shared" si="2"/>
        <v>21815.03</v>
      </c>
      <c r="E21" s="157">
        <f t="shared" si="2"/>
        <v>21815.03</v>
      </c>
      <c r="F21" s="157">
        <f t="shared" si="2"/>
        <v>21815.03</v>
      </c>
      <c r="G21" s="157">
        <f t="shared" si="2"/>
        <v>21815.03</v>
      </c>
      <c r="H21" s="157">
        <f t="shared" si="2"/>
        <v>22565.03</v>
      </c>
      <c r="I21" s="157">
        <f t="shared" si="2"/>
        <v>21915.03</v>
      </c>
      <c r="J21" s="157">
        <f t="shared" si="2"/>
        <v>21815.03</v>
      </c>
      <c r="K21" s="157">
        <f t="shared" si="2"/>
        <v>21815.03</v>
      </c>
      <c r="L21" s="157">
        <f t="shared" si="2"/>
        <v>21815.03</v>
      </c>
      <c r="M21" s="157">
        <f t="shared" si="2"/>
        <v>21815.03</v>
      </c>
      <c r="N21" s="157">
        <f t="shared" si="2"/>
        <v>282638.5</v>
      </c>
    </row>
    <row r="22" spans="1:14" x14ac:dyDescent="0.25">
      <c r="A22" s="153" t="s">
        <v>222</v>
      </c>
      <c r="B22" s="152"/>
      <c r="C22" s="152"/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N22" s="152"/>
    </row>
    <row r="23" spans="1:14" x14ac:dyDescent="0.25">
      <c r="A23" s="154" t="s">
        <v>223</v>
      </c>
      <c r="B23" s="155">
        <v>6210.4766687743195</v>
      </c>
      <c r="C23" s="155">
        <v>6537.3438618677046</v>
      </c>
      <c r="D23" s="155">
        <v>6864.2110549610898</v>
      </c>
      <c r="E23" s="155">
        <v>7191.0782480544749</v>
      </c>
      <c r="F23" s="155">
        <v>7517.94544114786</v>
      </c>
      <c r="G23" s="155">
        <v>6537.3438618677046</v>
      </c>
      <c r="H23" s="155">
        <v>7517.94544114786</v>
      </c>
      <c r="I23" s="155">
        <v>7191.0782480544749</v>
      </c>
      <c r="J23" s="155">
        <v>6864.2110549610898</v>
      </c>
      <c r="K23" s="155">
        <v>7517.94544114786</v>
      </c>
      <c r="L23" s="155">
        <v>6864.2110549610898</v>
      </c>
      <c r="M23" s="155">
        <v>7191.0782480544749</v>
      </c>
      <c r="N23" s="155">
        <f>SUM(B23:M23)</f>
        <v>84004.868625000003</v>
      </c>
    </row>
    <row r="24" spans="1:14" x14ac:dyDescent="0.25">
      <c r="A24" s="154" t="s">
        <v>224</v>
      </c>
      <c r="B24" s="155">
        <v>1033.3709455917815</v>
      </c>
      <c r="C24" s="155">
        <v>1087.7588900966123</v>
      </c>
      <c r="D24" s="155">
        <v>1142.1468346014428</v>
      </c>
      <c r="E24" s="155">
        <v>1196.5347791062734</v>
      </c>
      <c r="F24" s="155">
        <v>1250.9227236111039</v>
      </c>
      <c r="G24" s="155">
        <v>1087.7588900966123</v>
      </c>
      <c r="H24" s="155">
        <v>1250.9227236111039</v>
      </c>
      <c r="I24" s="155">
        <v>1196.5347791062734</v>
      </c>
      <c r="J24" s="155">
        <v>1142.1468346014428</v>
      </c>
      <c r="K24" s="155">
        <v>1250.9227236111039</v>
      </c>
      <c r="L24" s="155">
        <v>1142.1468346014428</v>
      </c>
      <c r="M24" s="155">
        <v>1196.5347791062734</v>
      </c>
      <c r="N24" s="155">
        <f>SUM(B24:M24)</f>
        <v>13977.701737741465</v>
      </c>
    </row>
    <row r="25" spans="1:14" x14ac:dyDescent="0.25">
      <c r="A25" s="154" t="s">
        <v>225</v>
      </c>
      <c r="B25" s="155">
        <v>65.807022258740432</v>
      </c>
      <c r="C25" s="155">
        <v>69.270549746042548</v>
      </c>
      <c r="D25" s="155">
        <v>72.734077233344678</v>
      </c>
      <c r="E25" s="155">
        <v>76.197604720646808</v>
      </c>
      <c r="F25" s="155">
        <v>79.661132207948938</v>
      </c>
      <c r="G25" s="155">
        <v>69.270549746042548</v>
      </c>
      <c r="H25" s="155">
        <v>79.661132207948938</v>
      </c>
      <c r="I25" s="155">
        <v>76.197604720646808</v>
      </c>
      <c r="J25" s="155">
        <v>72.734077233344678</v>
      </c>
      <c r="K25" s="155">
        <v>79.661132207948938</v>
      </c>
      <c r="L25" s="155">
        <v>72.734077233344678</v>
      </c>
      <c r="M25" s="155">
        <v>76.197604720646808</v>
      </c>
      <c r="N25" s="155">
        <f>SUM(B25:M25)</f>
        <v>890.12656423664691</v>
      </c>
    </row>
    <row r="26" spans="1:14" x14ac:dyDescent="0.25">
      <c r="A26" s="154" t="s">
        <v>226</v>
      </c>
      <c r="B26" s="155">
        <v>561.31638911057757</v>
      </c>
      <c r="C26" s="155">
        <v>590.85935695850276</v>
      </c>
      <c r="D26" s="155">
        <v>620.40232480642783</v>
      </c>
      <c r="E26" s="155">
        <v>649.94529265435301</v>
      </c>
      <c r="F26" s="155">
        <v>679.48826050227819</v>
      </c>
      <c r="G26" s="155">
        <v>590.85935695850276</v>
      </c>
      <c r="H26" s="155">
        <v>679.48826050227819</v>
      </c>
      <c r="I26" s="155">
        <v>649.94529265435301</v>
      </c>
      <c r="J26" s="155">
        <v>620.40232480642783</v>
      </c>
      <c r="K26" s="155">
        <v>679.48826050227819</v>
      </c>
      <c r="L26" s="155">
        <v>620.40232480642783</v>
      </c>
      <c r="M26" s="155">
        <v>649.94529265435301</v>
      </c>
      <c r="N26" s="155">
        <f>SUM(B26:M26)</f>
        <v>7592.5427369167601</v>
      </c>
    </row>
    <row r="27" spans="1:14" x14ac:dyDescent="0.25">
      <c r="A27" s="154" t="s">
        <v>227</v>
      </c>
      <c r="B27" s="155">
        <v>155.26191671935797</v>
      </c>
      <c r="C27" s="155">
        <v>163.4335965466926</v>
      </c>
      <c r="D27" s="155">
        <v>171.60527637402723</v>
      </c>
      <c r="E27" s="155">
        <v>179.77695620136186</v>
      </c>
      <c r="F27" s="155">
        <v>187.94863602869651</v>
      </c>
      <c r="G27" s="155">
        <v>163.4335965466926</v>
      </c>
      <c r="H27" s="155">
        <v>187.94863602869651</v>
      </c>
      <c r="I27" s="155">
        <v>179.77695620136186</v>
      </c>
      <c r="J27" s="155">
        <v>171.60527637402723</v>
      </c>
      <c r="K27" s="155">
        <v>187.94863602869651</v>
      </c>
      <c r="L27" s="155">
        <v>171.60527637402723</v>
      </c>
      <c r="M27" s="155">
        <v>179.77695620136186</v>
      </c>
      <c r="N27" s="155">
        <f>SUM(B27:M27)</f>
        <v>2100.121715625</v>
      </c>
    </row>
    <row r="28" spans="1:14" x14ac:dyDescent="0.25">
      <c r="A28" s="156" t="s">
        <v>228</v>
      </c>
      <c r="B28" s="157">
        <f t="shared" ref="B28:N28" si="3">SUM(B23:B27)</f>
        <v>8026.232942454777</v>
      </c>
      <c r="C28" s="157">
        <f t="shared" si="3"/>
        <v>8448.666255215554</v>
      </c>
      <c r="D28" s="157">
        <f t="shared" si="3"/>
        <v>8871.0995679763328</v>
      </c>
      <c r="E28" s="157">
        <f t="shared" si="3"/>
        <v>9293.5328807371097</v>
      </c>
      <c r="F28" s="157">
        <f t="shared" si="3"/>
        <v>9715.9661934978885</v>
      </c>
      <c r="G28" s="157">
        <f t="shared" si="3"/>
        <v>8448.666255215554</v>
      </c>
      <c r="H28" s="157">
        <f t="shared" si="3"/>
        <v>9715.9661934978885</v>
      </c>
      <c r="I28" s="157">
        <f t="shared" si="3"/>
        <v>9293.5328807371097</v>
      </c>
      <c r="J28" s="157">
        <f t="shared" si="3"/>
        <v>8871.0995679763328</v>
      </c>
      <c r="K28" s="157">
        <f t="shared" si="3"/>
        <v>9715.9661934978885</v>
      </c>
      <c r="L28" s="157">
        <f t="shared" si="3"/>
        <v>8871.0995679763328</v>
      </c>
      <c r="M28" s="157">
        <f t="shared" si="3"/>
        <v>9293.5328807371097</v>
      </c>
      <c r="N28" s="157">
        <f t="shared" si="3"/>
        <v>108565.36137951988</v>
      </c>
    </row>
    <row r="29" spans="1:14" x14ac:dyDescent="0.25">
      <c r="A29" s="158" t="s">
        <v>197</v>
      </c>
      <c r="B29" s="157">
        <f t="shared" ref="B29:N29" si="4">SUM(B21,B28)</f>
        <v>49849.402942454777</v>
      </c>
      <c r="C29" s="157">
        <f t="shared" si="4"/>
        <v>30263.696255215553</v>
      </c>
      <c r="D29" s="157">
        <f t="shared" si="4"/>
        <v>30686.129567976332</v>
      </c>
      <c r="E29" s="157">
        <f t="shared" si="4"/>
        <v>31108.56288073711</v>
      </c>
      <c r="F29" s="157">
        <f t="shared" si="4"/>
        <v>31530.996193497886</v>
      </c>
      <c r="G29" s="157">
        <f t="shared" si="4"/>
        <v>30263.696255215553</v>
      </c>
      <c r="H29" s="157">
        <f t="shared" si="4"/>
        <v>32280.996193497886</v>
      </c>
      <c r="I29" s="157">
        <f t="shared" si="4"/>
        <v>31208.56288073711</v>
      </c>
      <c r="J29" s="157">
        <f t="shared" si="4"/>
        <v>30686.129567976332</v>
      </c>
      <c r="K29" s="157">
        <f t="shared" si="4"/>
        <v>31530.996193497886</v>
      </c>
      <c r="L29" s="157">
        <f t="shared" si="4"/>
        <v>30686.129567976332</v>
      </c>
      <c r="M29" s="157">
        <f t="shared" si="4"/>
        <v>31108.56288073711</v>
      </c>
      <c r="N29" s="157">
        <f t="shared" si="4"/>
        <v>391203.86137951986</v>
      </c>
    </row>
    <row r="30" spans="1:14" x14ac:dyDescent="0.25">
      <c r="A30" s="149" t="s">
        <v>198</v>
      </c>
      <c r="B30" s="150">
        <f t="shared" ref="B30:N30" si="5">B8-B29</f>
        <v>-49849.402942454777</v>
      </c>
      <c r="C30" s="150">
        <f t="shared" si="5"/>
        <v>-30263.696255215553</v>
      </c>
      <c r="D30" s="150">
        <f t="shared" si="5"/>
        <v>-30686.129567976332</v>
      </c>
      <c r="E30" s="150">
        <f t="shared" si="5"/>
        <v>-31108.56288073711</v>
      </c>
      <c r="F30" s="150">
        <f t="shared" si="5"/>
        <v>-31530.996193497886</v>
      </c>
      <c r="G30" s="150">
        <f t="shared" si="5"/>
        <v>-30263.696255215553</v>
      </c>
      <c r="H30" s="150">
        <f t="shared" si="5"/>
        <v>-32280.996193497886</v>
      </c>
      <c r="I30" s="150">
        <f t="shared" si="5"/>
        <v>-31208.56288073711</v>
      </c>
      <c r="J30" s="150">
        <f t="shared" si="5"/>
        <v>-30686.129567976332</v>
      </c>
      <c r="K30" s="150">
        <f t="shared" si="5"/>
        <v>-31530.996193497886</v>
      </c>
      <c r="L30" s="150">
        <f t="shared" si="5"/>
        <v>-30686.129567976332</v>
      </c>
      <c r="M30" s="150">
        <f t="shared" si="5"/>
        <v>-31108.56288073711</v>
      </c>
      <c r="N30" s="150">
        <f t="shared" si="5"/>
        <v>-391203.86137951986</v>
      </c>
    </row>
    <row r="31" spans="1:14" x14ac:dyDescent="0.25">
      <c r="A31" s="151" t="s">
        <v>199</v>
      </c>
      <c r="B31" s="152"/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</row>
    <row r="32" spans="1:14" x14ac:dyDescent="0.25">
      <c r="A32" s="153" t="s">
        <v>202</v>
      </c>
      <c r="B32" s="152"/>
      <c r="C32" s="152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</row>
    <row r="33" spans="1:14" x14ac:dyDescent="0.25">
      <c r="A33" s="154" t="s">
        <v>229</v>
      </c>
      <c r="B33" s="155">
        <v>5200</v>
      </c>
      <c r="C33" s="155">
        <v>5200</v>
      </c>
      <c r="D33" s="155">
        <v>5200</v>
      </c>
      <c r="E33" s="155">
        <v>5200</v>
      </c>
      <c r="F33" s="155">
        <v>5200</v>
      </c>
      <c r="G33" s="155">
        <v>5200</v>
      </c>
      <c r="H33" s="155">
        <v>5200</v>
      </c>
      <c r="I33" s="155">
        <v>5200</v>
      </c>
      <c r="J33" s="155">
        <v>5200</v>
      </c>
      <c r="K33" s="155">
        <v>5200</v>
      </c>
      <c r="L33" s="155">
        <v>5200</v>
      </c>
      <c r="M33" s="155">
        <v>5200</v>
      </c>
      <c r="N33" s="155">
        <f>SUM(B33:M33)</f>
        <v>62400</v>
      </c>
    </row>
    <row r="34" spans="1:14" x14ac:dyDescent="0.25">
      <c r="A34" s="154" t="s">
        <v>230</v>
      </c>
      <c r="B34" s="155">
        <v>0</v>
      </c>
      <c r="C34" s="155">
        <v>0</v>
      </c>
      <c r="D34" s="155">
        <v>0</v>
      </c>
      <c r="E34" s="155">
        <v>4253.55</v>
      </c>
      <c r="F34" s="155">
        <v>0</v>
      </c>
      <c r="G34" s="155">
        <v>0</v>
      </c>
      <c r="H34" s="155">
        <v>4253.55</v>
      </c>
      <c r="I34" s="155">
        <v>0</v>
      </c>
      <c r="J34" s="155">
        <v>0</v>
      </c>
      <c r="K34" s="155">
        <v>4253.55</v>
      </c>
      <c r="L34" s="155">
        <v>0</v>
      </c>
      <c r="M34" s="155">
        <v>4253.55</v>
      </c>
      <c r="N34" s="155">
        <f>SUM(B34:M34)</f>
        <v>17014.2</v>
      </c>
    </row>
    <row r="35" spans="1:14" x14ac:dyDescent="0.25">
      <c r="A35" s="156" t="s">
        <v>203</v>
      </c>
      <c r="B35" s="157">
        <f>SUM(B33:B34)</f>
        <v>5200</v>
      </c>
      <c r="C35" s="157">
        <f t="shared" ref="C35:N35" si="6">SUM(C33:C34)</f>
        <v>5200</v>
      </c>
      <c r="D35" s="157">
        <f t="shared" si="6"/>
        <v>5200</v>
      </c>
      <c r="E35" s="157">
        <f t="shared" si="6"/>
        <v>9453.5499999999993</v>
      </c>
      <c r="F35" s="157">
        <f t="shared" si="6"/>
        <v>5200</v>
      </c>
      <c r="G35" s="157">
        <f t="shared" si="6"/>
        <v>5200</v>
      </c>
      <c r="H35" s="157">
        <f t="shared" si="6"/>
        <v>9453.5499999999993</v>
      </c>
      <c r="I35" s="157">
        <f t="shared" si="6"/>
        <v>5200</v>
      </c>
      <c r="J35" s="157">
        <f t="shared" si="6"/>
        <v>5200</v>
      </c>
      <c r="K35" s="157">
        <f t="shared" si="6"/>
        <v>9453.5499999999993</v>
      </c>
      <c r="L35" s="157">
        <f t="shared" si="6"/>
        <v>5200</v>
      </c>
      <c r="M35" s="157">
        <f t="shared" si="6"/>
        <v>9453.5499999999993</v>
      </c>
      <c r="N35" s="157">
        <f t="shared" si="6"/>
        <v>79414.2</v>
      </c>
    </row>
    <row r="36" spans="1:14" x14ac:dyDescent="0.25">
      <c r="A36" s="153" t="s">
        <v>231</v>
      </c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</row>
    <row r="37" spans="1:14" x14ac:dyDescent="0.25">
      <c r="A37" s="154" t="s">
        <v>232</v>
      </c>
      <c r="B37" s="155">
        <v>24083.360000000001</v>
      </c>
      <c r="C37" s="155">
        <v>24083.360000000001</v>
      </c>
      <c r="D37" s="155">
        <v>24083.360000000001</v>
      </c>
      <c r="E37" s="155">
        <v>24083.360000000001</v>
      </c>
      <c r="F37" s="155">
        <v>24083.360000000001</v>
      </c>
      <c r="G37" s="155">
        <v>24083.360000000001</v>
      </c>
      <c r="H37" s="155">
        <v>24083.360000000001</v>
      </c>
      <c r="I37" s="155">
        <v>24083.360000000001</v>
      </c>
      <c r="J37" s="155">
        <v>24083.360000000001</v>
      </c>
      <c r="K37" s="155">
        <v>24083.360000000001</v>
      </c>
      <c r="L37" s="155">
        <v>24083.360000000001</v>
      </c>
      <c r="M37" s="155">
        <v>24083.360000000001</v>
      </c>
      <c r="N37" s="155">
        <f>SUM(B37:M37)</f>
        <v>289000.31999999995</v>
      </c>
    </row>
    <row r="38" spans="1:14" x14ac:dyDescent="0.25">
      <c r="A38" s="156" t="s">
        <v>233</v>
      </c>
      <c r="B38" s="157">
        <f t="shared" ref="B38:N38" si="7">SUM(B37)</f>
        <v>24083.360000000001</v>
      </c>
      <c r="C38" s="157">
        <f t="shared" si="7"/>
        <v>24083.360000000001</v>
      </c>
      <c r="D38" s="157">
        <f t="shared" si="7"/>
        <v>24083.360000000001</v>
      </c>
      <c r="E38" s="157">
        <f t="shared" si="7"/>
        <v>24083.360000000001</v>
      </c>
      <c r="F38" s="157">
        <f t="shared" si="7"/>
        <v>24083.360000000001</v>
      </c>
      <c r="G38" s="157">
        <f t="shared" si="7"/>
        <v>24083.360000000001</v>
      </c>
      <c r="H38" s="157">
        <f t="shared" si="7"/>
        <v>24083.360000000001</v>
      </c>
      <c r="I38" s="157">
        <f t="shared" si="7"/>
        <v>24083.360000000001</v>
      </c>
      <c r="J38" s="157">
        <f t="shared" si="7"/>
        <v>24083.360000000001</v>
      </c>
      <c r="K38" s="157">
        <f t="shared" si="7"/>
        <v>24083.360000000001</v>
      </c>
      <c r="L38" s="157">
        <f t="shared" si="7"/>
        <v>24083.360000000001</v>
      </c>
      <c r="M38" s="157">
        <f t="shared" si="7"/>
        <v>24083.360000000001</v>
      </c>
      <c r="N38" s="157">
        <f t="shared" si="7"/>
        <v>289000.31999999995</v>
      </c>
    </row>
    <row r="39" spans="1:14" x14ac:dyDescent="0.25">
      <c r="A39" s="158" t="s">
        <v>206</v>
      </c>
      <c r="B39" s="157">
        <f t="shared" ref="B39:N39" si="8">SUM(B35,B38)</f>
        <v>29283.360000000001</v>
      </c>
      <c r="C39" s="157">
        <f t="shared" si="8"/>
        <v>29283.360000000001</v>
      </c>
      <c r="D39" s="157">
        <f t="shared" si="8"/>
        <v>29283.360000000001</v>
      </c>
      <c r="E39" s="157">
        <f t="shared" si="8"/>
        <v>33536.910000000003</v>
      </c>
      <c r="F39" s="157">
        <f t="shared" si="8"/>
        <v>29283.360000000001</v>
      </c>
      <c r="G39" s="157">
        <f t="shared" si="8"/>
        <v>29283.360000000001</v>
      </c>
      <c r="H39" s="157">
        <f t="shared" si="8"/>
        <v>33536.910000000003</v>
      </c>
      <c r="I39" s="157">
        <f t="shared" si="8"/>
        <v>29283.360000000001</v>
      </c>
      <c r="J39" s="157">
        <f t="shared" si="8"/>
        <v>29283.360000000001</v>
      </c>
      <c r="K39" s="157">
        <f t="shared" si="8"/>
        <v>33536.910000000003</v>
      </c>
      <c r="L39" s="157">
        <f t="shared" si="8"/>
        <v>29283.360000000001</v>
      </c>
      <c r="M39" s="157">
        <f t="shared" si="8"/>
        <v>33536.910000000003</v>
      </c>
      <c r="N39" s="157">
        <f t="shared" si="8"/>
        <v>368414.51999999996</v>
      </c>
    </row>
    <row r="40" spans="1:14" x14ac:dyDescent="0.25">
      <c r="A40" s="149" t="s">
        <v>31</v>
      </c>
      <c r="B40" s="150">
        <f t="shared" ref="B40:N40" si="9">B30+B39+0</f>
        <v>-20566.042942454776</v>
      </c>
      <c r="C40" s="150">
        <f t="shared" si="9"/>
        <v>-980.33625521555223</v>
      </c>
      <c r="D40" s="150">
        <f t="shared" si="9"/>
        <v>-1402.769567976331</v>
      </c>
      <c r="E40" s="150">
        <f t="shared" si="9"/>
        <v>2428.3471192628931</v>
      </c>
      <c r="F40" s="150">
        <f t="shared" si="9"/>
        <v>-2247.636193497885</v>
      </c>
      <c r="G40" s="150">
        <f t="shared" si="9"/>
        <v>-980.33625521555223</v>
      </c>
      <c r="H40" s="150">
        <f t="shared" si="9"/>
        <v>1255.913806502118</v>
      </c>
      <c r="I40" s="150">
        <f t="shared" si="9"/>
        <v>-1925.2028807371098</v>
      </c>
      <c r="J40" s="150">
        <f t="shared" si="9"/>
        <v>-1402.769567976331</v>
      </c>
      <c r="K40" s="150">
        <f t="shared" si="9"/>
        <v>2005.913806502118</v>
      </c>
      <c r="L40" s="150">
        <f t="shared" si="9"/>
        <v>-1402.769567976331</v>
      </c>
      <c r="M40" s="150">
        <f t="shared" si="9"/>
        <v>2428.3471192628931</v>
      </c>
      <c r="N40" s="150">
        <f t="shared" si="9"/>
        <v>-22789.341379519901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A06A9-CFDB-6842-A125-F382AAEEB6F8}">
  <sheetPr codeName="Sheet4">
    <tabColor rgb="FFFFFF00"/>
  </sheetPr>
  <dimension ref="A1:N48"/>
  <sheetViews>
    <sheetView workbookViewId="0">
      <pane xSplit="1" ySplit="7" topLeftCell="B32" activePane="bottomRight" state="frozen"/>
      <selection pane="topRight" activeCell="K36" sqref="K36"/>
      <selection pane="bottomLeft" activeCell="K36" sqref="K36"/>
      <selection pane="bottomRight" activeCell="M30" sqref="M30"/>
    </sheetView>
  </sheetViews>
  <sheetFormatPr defaultColWidth="8.875" defaultRowHeight="15.75" x14ac:dyDescent="0.25"/>
  <cols>
    <col min="1" max="1" width="67.125" bestFit="1" customWidth="1"/>
    <col min="2" max="13" width="8.125" bestFit="1" customWidth="1"/>
    <col min="14" max="14" width="8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234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27</v>
      </c>
      <c r="B11" s="155">
        <v>0</v>
      </c>
      <c r="C11" s="155">
        <v>1300</v>
      </c>
      <c r="D11" s="155">
        <v>0</v>
      </c>
      <c r="E11" s="155">
        <v>0</v>
      </c>
      <c r="F11" s="155">
        <v>0</v>
      </c>
      <c r="G11" s="155">
        <v>0</v>
      </c>
      <c r="H11" s="155">
        <v>1000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>SUM(B11:M11)</f>
        <v>2300</v>
      </c>
    </row>
    <row r="12" spans="1:14" x14ac:dyDescent="0.25">
      <c r="A12" s="154" t="s">
        <v>212</v>
      </c>
      <c r="B12" s="155">
        <v>6000</v>
      </c>
      <c r="C12" s="155">
        <v>6000</v>
      </c>
      <c r="D12" s="155">
        <v>6000</v>
      </c>
      <c r="E12" s="155">
        <v>6000</v>
      </c>
      <c r="F12" s="155">
        <v>6000</v>
      </c>
      <c r="G12" s="155">
        <v>6000</v>
      </c>
      <c r="H12" s="155">
        <v>6000</v>
      </c>
      <c r="I12" s="155">
        <v>6000</v>
      </c>
      <c r="J12" s="155">
        <v>6000</v>
      </c>
      <c r="K12" s="155">
        <v>6000</v>
      </c>
      <c r="L12" s="155">
        <v>6000</v>
      </c>
      <c r="M12" s="155">
        <v>6000</v>
      </c>
      <c r="N12" s="155">
        <f>SUM(B12:M12)</f>
        <v>72000</v>
      </c>
    </row>
    <row r="13" spans="1:14" x14ac:dyDescent="0.25">
      <c r="A13" s="154" t="s">
        <v>235</v>
      </c>
      <c r="B13" s="155">
        <v>20</v>
      </c>
      <c r="C13" s="155">
        <v>20</v>
      </c>
      <c r="D13" s="155">
        <v>20</v>
      </c>
      <c r="E13" s="155">
        <v>20</v>
      </c>
      <c r="F13" s="155">
        <v>20</v>
      </c>
      <c r="G13" s="155">
        <v>20</v>
      </c>
      <c r="H13" s="155">
        <v>20</v>
      </c>
      <c r="I13" s="155">
        <v>20</v>
      </c>
      <c r="J13" s="155">
        <v>20</v>
      </c>
      <c r="K13" s="155">
        <v>20</v>
      </c>
      <c r="L13" s="155">
        <v>20</v>
      </c>
      <c r="M13" s="155">
        <v>20</v>
      </c>
      <c r="N13" s="155">
        <f t="shared" ref="N13:N23" si="1">SUM(B13:M13)</f>
        <v>240</v>
      </c>
    </row>
    <row r="14" spans="1:14" x14ac:dyDescent="0.25">
      <c r="A14" s="154" t="s">
        <v>213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0</v>
      </c>
    </row>
    <row r="15" spans="1:14" x14ac:dyDescent="0.25">
      <c r="A15" s="154" t="s">
        <v>214</v>
      </c>
      <c r="B15" s="155">
        <v>5000</v>
      </c>
      <c r="C15" s="155">
        <v>5000</v>
      </c>
      <c r="D15" s="155">
        <v>5000</v>
      </c>
      <c r="E15" s="155">
        <v>5000</v>
      </c>
      <c r="F15" s="155">
        <v>5000</v>
      </c>
      <c r="G15" s="155">
        <v>5000</v>
      </c>
      <c r="H15" s="155">
        <v>5000</v>
      </c>
      <c r="I15" s="155">
        <v>5000</v>
      </c>
      <c r="J15" s="155">
        <v>5000</v>
      </c>
      <c r="K15" s="155">
        <v>5000</v>
      </c>
      <c r="L15" s="155">
        <v>5000</v>
      </c>
      <c r="M15" s="155">
        <v>5000</v>
      </c>
      <c r="N15" s="155">
        <f t="shared" si="1"/>
        <v>60000</v>
      </c>
    </row>
    <row r="16" spans="1:14" x14ac:dyDescent="0.25">
      <c r="A16" s="154" t="s">
        <v>236</v>
      </c>
      <c r="B16" s="155">
        <v>50</v>
      </c>
      <c r="C16" s="155">
        <v>50</v>
      </c>
      <c r="D16" s="155">
        <v>50</v>
      </c>
      <c r="E16" s="155">
        <v>50</v>
      </c>
      <c r="F16" s="155">
        <v>50</v>
      </c>
      <c r="G16" s="155">
        <v>50</v>
      </c>
      <c r="H16" s="155">
        <v>50</v>
      </c>
      <c r="I16" s="155">
        <v>50</v>
      </c>
      <c r="J16" s="155">
        <v>50</v>
      </c>
      <c r="K16" s="155">
        <v>50</v>
      </c>
      <c r="L16" s="155">
        <v>50</v>
      </c>
      <c r="M16" s="155">
        <v>50</v>
      </c>
      <c r="N16" s="155">
        <f t="shared" si="1"/>
        <v>600</v>
      </c>
    </row>
    <row r="17" spans="1:14" x14ac:dyDescent="0.25">
      <c r="A17" s="154" t="s">
        <v>215</v>
      </c>
      <c r="B17" s="155">
        <v>0</v>
      </c>
      <c r="C17" s="155">
        <v>30000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1"/>
        <v>30000</v>
      </c>
    </row>
    <row r="18" spans="1:14" x14ac:dyDescent="0.25">
      <c r="A18" s="154" t="s">
        <v>237</v>
      </c>
      <c r="B18" s="155">
        <v>0</v>
      </c>
      <c r="C18" s="155">
        <v>0</v>
      </c>
      <c r="D18" s="155">
        <v>0</v>
      </c>
      <c r="E18" s="155">
        <v>0</v>
      </c>
      <c r="F18" s="155">
        <v>0</v>
      </c>
      <c r="G18" s="155">
        <v>2500</v>
      </c>
      <c r="H18" s="155">
        <v>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f t="shared" si="1"/>
        <v>2500</v>
      </c>
    </row>
    <row r="19" spans="1:14" x14ac:dyDescent="0.25">
      <c r="A19" s="154" t="s">
        <v>238</v>
      </c>
      <c r="B19" s="155">
        <v>2000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1"/>
        <v>2000</v>
      </c>
    </row>
    <row r="20" spans="1:14" x14ac:dyDescent="0.25">
      <c r="A20" s="154" t="s">
        <v>218</v>
      </c>
      <c r="B20" s="155">
        <v>2000</v>
      </c>
      <c r="C20" s="155">
        <v>2000</v>
      </c>
      <c r="D20" s="155">
        <v>2000</v>
      </c>
      <c r="E20" s="155">
        <v>2000</v>
      </c>
      <c r="F20" s="155">
        <v>2000</v>
      </c>
      <c r="G20" s="155">
        <v>2000</v>
      </c>
      <c r="H20" s="155">
        <v>2000</v>
      </c>
      <c r="I20" s="155">
        <v>2000</v>
      </c>
      <c r="J20" s="155">
        <v>2000</v>
      </c>
      <c r="K20" s="155">
        <v>2000</v>
      </c>
      <c r="L20" s="155">
        <v>2000</v>
      </c>
      <c r="M20" s="155">
        <v>2000</v>
      </c>
      <c r="N20" s="155">
        <f t="shared" si="1"/>
        <v>24000</v>
      </c>
    </row>
    <row r="21" spans="1:14" x14ac:dyDescent="0.25">
      <c r="A21" s="154" t="s">
        <v>219</v>
      </c>
      <c r="B21" s="183">
        <v>446.63</v>
      </c>
      <c r="C21" s="183">
        <v>446.63</v>
      </c>
      <c r="D21" s="183">
        <v>446.63</v>
      </c>
      <c r="E21" s="183">
        <v>446.63</v>
      </c>
      <c r="F21" s="183">
        <v>446.63</v>
      </c>
      <c r="G21" s="183">
        <v>446.63</v>
      </c>
      <c r="H21" s="183">
        <v>446.63</v>
      </c>
      <c r="I21" s="183">
        <v>446.63</v>
      </c>
      <c r="J21" s="183">
        <v>446.63</v>
      </c>
      <c r="K21" s="183">
        <v>446.63</v>
      </c>
      <c r="L21" s="183">
        <v>446.63</v>
      </c>
      <c r="M21" s="183">
        <v>446.63</v>
      </c>
      <c r="N21" s="155">
        <f t="shared" si="1"/>
        <v>5359.56</v>
      </c>
    </row>
    <row r="22" spans="1:14" x14ac:dyDescent="0.25">
      <c r="A22" s="154" t="s">
        <v>220</v>
      </c>
      <c r="B22" s="183">
        <v>2678.47</v>
      </c>
      <c r="C22" s="183">
        <v>2678.47</v>
      </c>
      <c r="D22" s="183">
        <v>2678.47</v>
      </c>
      <c r="E22" s="183">
        <v>2678.47</v>
      </c>
      <c r="F22" s="183">
        <v>2678.47</v>
      </c>
      <c r="G22" s="183">
        <v>2678.47</v>
      </c>
      <c r="H22" s="183">
        <v>2678.47</v>
      </c>
      <c r="I22" s="183">
        <v>2678.47</v>
      </c>
      <c r="J22" s="183">
        <v>2678.47</v>
      </c>
      <c r="K22" s="183">
        <v>2678.47</v>
      </c>
      <c r="L22" s="183">
        <v>2678.47</v>
      </c>
      <c r="M22" s="183">
        <v>2678.47</v>
      </c>
      <c r="N22" s="155">
        <f t="shared" si="1"/>
        <v>32141.640000000003</v>
      </c>
    </row>
    <row r="23" spans="1:14" x14ac:dyDescent="0.25">
      <c r="A23" s="154" t="s">
        <v>221</v>
      </c>
      <c r="B23" s="183">
        <v>3833.46</v>
      </c>
      <c r="C23" s="183">
        <v>3833.46</v>
      </c>
      <c r="D23" s="183">
        <v>3833.46</v>
      </c>
      <c r="E23" s="183">
        <v>3833.46</v>
      </c>
      <c r="F23" s="183">
        <v>3833.46</v>
      </c>
      <c r="G23" s="183">
        <v>3833.46</v>
      </c>
      <c r="H23" s="183">
        <v>3833.46</v>
      </c>
      <c r="I23" s="183">
        <v>3833.46</v>
      </c>
      <c r="J23" s="183">
        <v>3833.46</v>
      </c>
      <c r="K23" s="183">
        <v>3833.46</v>
      </c>
      <c r="L23" s="183">
        <v>3833.46</v>
      </c>
      <c r="M23" s="183">
        <v>3833.46</v>
      </c>
      <c r="N23" s="155">
        <f t="shared" si="1"/>
        <v>46001.52</v>
      </c>
    </row>
    <row r="24" spans="1:14" x14ac:dyDescent="0.25">
      <c r="A24" s="156" t="s">
        <v>196</v>
      </c>
      <c r="B24" s="157">
        <f t="shared" ref="B24:N24" si="2">SUM(B11:B23)</f>
        <v>22028.559999999998</v>
      </c>
      <c r="C24" s="157">
        <f t="shared" si="2"/>
        <v>51328.56</v>
      </c>
      <c r="D24" s="157">
        <f t="shared" si="2"/>
        <v>20028.559999999998</v>
      </c>
      <c r="E24" s="157">
        <f t="shared" si="2"/>
        <v>20028.559999999998</v>
      </c>
      <c r="F24" s="157">
        <f t="shared" si="2"/>
        <v>20028.559999999998</v>
      </c>
      <c r="G24" s="157">
        <f t="shared" si="2"/>
        <v>22528.559999999998</v>
      </c>
      <c r="H24" s="157">
        <f t="shared" si="2"/>
        <v>21028.559999999998</v>
      </c>
      <c r="I24" s="157">
        <f t="shared" si="2"/>
        <v>20028.559999999998</v>
      </c>
      <c r="J24" s="157">
        <f t="shared" si="2"/>
        <v>20028.559999999998</v>
      </c>
      <c r="K24" s="157">
        <f t="shared" si="2"/>
        <v>20028.559999999998</v>
      </c>
      <c r="L24" s="157">
        <f t="shared" si="2"/>
        <v>20028.559999999998</v>
      </c>
      <c r="M24" s="157">
        <f t="shared" si="2"/>
        <v>20028.559999999998</v>
      </c>
      <c r="N24" s="157">
        <f t="shared" si="2"/>
        <v>277142.72000000003</v>
      </c>
    </row>
    <row r="25" spans="1:14" x14ac:dyDescent="0.25">
      <c r="A25" s="153" t="s">
        <v>222</v>
      </c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</row>
    <row r="26" spans="1:14" x14ac:dyDescent="0.25">
      <c r="A26" s="154" t="s">
        <v>223</v>
      </c>
      <c r="B26" s="155">
        <v>6210.4766687743195</v>
      </c>
      <c r="C26" s="155">
        <v>6537.3438618677046</v>
      </c>
      <c r="D26" s="155">
        <v>6864.2110549610898</v>
      </c>
      <c r="E26" s="155">
        <v>7191.0782480544749</v>
      </c>
      <c r="F26" s="155">
        <v>7517.94544114786</v>
      </c>
      <c r="G26" s="155">
        <v>6537.3438618677046</v>
      </c>
      <c r="H26" s="155">
        <v>7517.94544114786</v>
      </c>
      <c r="I26" s="155">
        <v>7191.0782480544749</v>
      </c>
      <c r="J26" s="155">
        <v>6864.2110549610898</v>
      </c>
      <c r="K26" s="155">
        <v>7517.94544114786</v>
      </c>
      <c r="L26" s="155">
        <v>6864.2110549610898</v>
      </c>
      <c r="M26" s="155">
        <v>8240.2346480544747</v>
      </c>
      <c r="N26" s="155">
        <f t="shared" ref="N26:N31" si="3">SUM(B26:M26)</f>
        <v>85054.02502500001</v>
      </c>
    </row>
    <row r="27" spans="1:14" x14ac:dyDescent="0.25">
      <c r="A27" s="154" t="s">
        <v>224</v>
      </c>
      <c r="B27" s="155">
        <v>1033.3709455917815</v>
      </c>
      <c r="C27" s="155">
        <v>1087.7588900966123</v>
      </c>
      <c r="D27" s="155">
        <v>1142.1468346014428</v>
      </c>
      <c r="E27" s="155">
        <v>1196.5347791062734</v>
      </c>
      <c r="F27" s="155">
        <v>1250.9227236111039</v>
      </c>
      <c r="G27" s="155">
        <v>1087.7588900966123</v>
      </c>
      <c r="H27" s="155">
        <v>1250.9227236111039</v>
      </c>
      <c r="I27" s="155">
        <v>1196.5347791062734</v>
      </c>
      <c r="J27" s="155">
        <v>1142.1468346014428</v>
      </c>
      <c r="K27" s="155">
        <v>1250.9227236111039</v>
      </c>
      <c r="L27" s="155">
        <v>1142.1468346014428</v>
      </c>
      <c r="M27" s="155">
        <v>1380.1371491062732</v>
      </c>
      <c r="N27" s="155">
        <f t="shared" si="3"/>
        <v>14161.304107741464</v>
      </c>
    </row>
    <row r="28" spans="1:14" x14ac:dyDescent="0.25">
      <c r="A28" s="154" t="s">
        <v>225</v>
      </c>
      <c r="B28" s="155">
        <v>65.807022258740432</v>
      </c>
      <c r="C28" s="155">
        <v>69.270549746042548</v>
      </c>
      <c r="D28" s="155">
        <v>72.734077233344678</v>
      </c>
      <c r="E28" s="155">
        <v>76.197604720646808</v>
      </c>
      <c r="F28" s="155">
        <v>79.661132207948938</v>
      </c>
      <c r="G28" s="155">
        <v>69.270549746042548</v>
      </c>
      <c r="H28" s="155">
        <v>79.661132207948938</v>
      </c>
      <c r="I28" s="155">
        <v>76.197604720646808</v>
      </c>
      <c r="J28" s="155">
        <v>72.734077233344678</v>
      </c>
      <c r="K28" s="155">
        <v>79.661132207948938</v>
      </c>
      <c r="L28" s="155">
        <v>72.734077233344678</v>
      </c>
      <c r="M28" s="155">
        <v>76.197604720646808</v>
      </c>
      <c r="N28" s="155">
        <f t="shared" si="3"/>
        <v>890.12656423664691</v>
      </c>
    </row>
    <row r="29" spans="1:14" x14ac:dyDescent="0.25">
      <c r="A29" s="154" t="s">
        <v>226</v>
      </c>
      <c r="B29" s="155">
        <v>561.31638911057757</v>
      </c>
      <c r="C29" s="155">
        <v>590.85935695850276</v>
      </c>
      <c r="D29" s="155">
        <v>620.40232480642783</v>
      </c>
      <c r="E29" s="155">
        <v>649.94529265435301</v>
      </c>
      <c r="F29" s="155">
        <v>679.48826050227819</v>
      </c>
      <c r="G29" s="155">
        <v>590.85935695850276</v>
      </c>
      <c r="H29" s="155">
        <v>679.48826050227819</v>
      </c>
      <c r="I29" s="155">
        <v>649.94529265435301</v>
      </c>
      <c r="J29" s="155">
        <v>620.40232480642783</v>
      </c>
      <c r="K29" s="155">
        <v>679.48826050227819</v>
      </c>
      <c r="L29" s="155">
        <v>620.40232480642783</v>
      </c>
      <c r="M29" s="155">
        <v>649.94529265435301</v>
      </c>
      <c r="N29" s="155">
        <f t="shared" si="3"/>
        <v>7592.5427369167601</v>
      </c>
    </row>
    <row r="30" spans="1:14" x14ac:dyDescent="0.25">
      <c r="A30" s="154" t="s">
        <v>227</v>
      </c>
      <c r="B30" s="155">
        <v>155.26191671935797</v>
      </c>
      <c r="C30" s="155">
        <v>163.4335965466926</v>
      </c>
      <c r="D30" s="155">
        <v>171.60527637402723</v>
      </c>
      <c r="E30" s="155">
        <v>179.77695620136186</v>
      </c>
      <c r="F30" s="155">
        <v>187.94863602869651</v>
      </c>
      <c r="G30" s="155">
        <v>163.4335965466926</v>
      </c>
      <c r="H30" s="155">
        <v>187.94863602869651</v>
      </c>
      <c r="I30" s="155">
        <v>179.77695620136186</v>
      </c>
      <c r="J30" s="155">
        <v>171.60527637402723</v>
      </c>
      <c r="K30" s="155">
        <v>187.94863602869651</v>
      </c>
      <c r="L30" s="155">
        <v>171.60527637402723</v>
      </c>
      <c r="M30" s="155">
        <v>179.77695620136186</v>
      </c>
      <c r="N30" s="155">
        <f t="shared" si="3"/>
        <v>2100.121715625</v>
      </c>
    </row>
    <row r="31" spans="1:14" x14ac:dyDescent="0.25">
      <c r="A31" s="154" t="s">
        <v>239</v>
      </c>
      <c r="B31" s="155">
        <v>136.93050000000039</v>
      </c>
      <c r="C31" s="155">
        <v>136.93050000000039</v>
      </c>
      <c r="D31" s="155">
        <v>136.93050000000039</v>
      </c>
      <c r="E31" s="155">
        <v>136.93050000000039</v>
      </c>
      <c r="F31" s="155">
        <v>136.93050000000039</v>
      </c>
      <c r="G31" s="155">
        <v>136.93050000000039</v>
      </c>
      <c r="H31" s="155">
        <v>136.93050000000039</v>
      </c>
      <c r="I31" s="155">
        <v>136.93050000000039</v>
      </c>
      <c r="J31" s="155">
        <v>136.93050000000039</v>
      </c>
      <c r="K31" s="155">
        <v>136.93050000000039</v>
      </c>
      <c r="L31" s="155">
        <v>136.93050000000039</v>
      </c>
      <c r="M31" s="155">
        <v>136.93050000000039</v>
      </c>
      <c r="N31" s="155">
        <f t="shared" si="3"/>
        <v>1643.1660000000047</v>
      </c>
    </row>
    <row r="32" spans="1:14" x14ac:dyDescent="0.25">
      <c r="A32" s="156" t="s">
        <v>228</v>
      </c>
      <c r="B32" s="157">
        <f t="shared" ref="B32:N32" si="4">SUM(B26:B31)</f>
        <v>8163.1634424547774</v>
      </c>
      <c r="C32" s="157">
        <f t="shared" si="4"/>
        <v>8585.5967552155544</v>
      </c>
      <c r="D32" s="157">
        <f t="shared" si="4"/>
        <v>9008.0300679763332</v>
      </c>
      <c r="E32" s="157">
        <f t="shared" si="4"/>
        <v>9430.4633807371101</v>
      </c>
      <c r="F32" s="157">
        <f t="shared" si="4"/>
        <v>9852.8966934978889</v>
      </c>
      <c r="G32" s="157">
        <f t="shared" si="4"/>
        <v>8585.5967552155544</v>
      </c>
      <c r="H32" s="157">
        <f t="shared" si="4"/>
        <v>9852.8966934978889</v>
      </c>
      <c r="I32" s="157">
        <f t="shared" si="4"/>
        <v>9430.4633807371101</v>
      </c>
      <c r="J32" s="157">
        <f t="shared" si="4"/>
        <v>9008.0300679763332</v>
      </c>
      <c r="K32" s="157">
        <f t="shared" si="4"/>
        <v>9852.8966934978889</v>
      </c>
      <c r="L32" s="157">
        <f t="shared" si="4"/>
        <v>9008.0300679763332</v>
      </c>
      <c r="M32" s="157">
        <f t="shared" si="4"/>
        <v>10663.222150737109</v>
      </c>
      <c r="N32" s="157">
        <f t="shared" si="4"/>
        <v>111441.2861495199</v>
      </c>
    </row>
    <row r="33" spans="1:14" x14ac:dyDescent="0.25">
      <c r="A33" s="158" t="s">
        <v>197</v>
      </c>
      <c r="B33" s="157">
        <f t="shared" ref="B33:N33" si="5">SUM(B24,B32)</f>
        <v>30191.723442454775</v>
      </c>
      <c r="C33" s="157">
        <f t="shared" si="5"/>
        <v>59914.156755215554</v>
      </c>
      <c r="D33" s="157">
        <f t="shared" si="5"/>
        <v>29036.590067976329</v>
      </c>
      <c r="E33" s="157">
        <f t="shared" si="5"/>
        <v>29459.023380737108</v>
      </c>
      <c r="F33" s="157">
        <f t="shared" si="5"/>
        <v>29881.456693497887</v>
      </c>
      <c r="G33" s="157">
        <f t="shared" si="5"/>
        <v>31114.156755215554</v>
      </c>
      <c r="H33" s="157">
        <f t="shared" si="5"/>
        <v>30881.456693497887</v>
      </c>
      <c r="I33" s="157">
        <f t="shared" si="5"/>
        <v>29459.023380737108</v>
      </c>
      <c r="J33" s="157">
        <f t="shared" si="5"/>
        <v>29036.590067976329</v>
      </c>
      <c r="K33" s="157">
        <f t="shared" si="5"/>
        <v>29881.456693497887</v>
      </c>
      <c r="L33" s="157">
        <f t="shared" si="5"/>
        <v>29036.590067976329</v>
      </c>
      <c r="M33" s="157">
        <f t="shared" si="5"/>
        <v>30691.782150737105</v>
      </c>
      <c r="N33" s="157">
        <f t="shared" si="5"/>
        <v>388584.00614951993</v>
      </c>
    </row>
    <row r="34" spans="1:14" x14ac:dyDescent="0.25">
      <c r="A34" s="149" t="s">
        <v>198</v>
      </c>
      <c r="B34" s="150">
        <f t="shared" ref="B34:N34" si="6">B8-B33</f>
        <v>-30191.723442454775</v>
      </c>
      <c r="C34" s="150">
        <f t="shared" si="6"/>
        <v>-59914.156755215554</v>
      </c>
      <c r="D34" s="150">
        <f t="shared" si="6"/>
        <v>-29036.590067976329</v>
      </c>
      <c r="E34" s="150">
        <f t="shared" si="6"/>
        <v>-29459.023380737108</v>
      </c>
      <c r="F34" s="150">
        <f t="shared" si="6"/>
        <v>-29881.456693497887</v>
      </c>
      <c r="G34" s="150">
        <f t="shared" si="6"/>
        <v>-31114.156755215554</v>
      </c>
      <c r="H34" s="150">
        <f t="shared" si="6"/>
        <v>-30881.456693497887</v>
      </c>
      <c r="I34" s="150">
        <f t="shared" si="6"/>
        <v>-29459.023380737108</v>
      </c>
      <c r="J34" s="150">
        <f t="shared" si="6"/>
        <v>-29036.590067976329</v>
      </c>
      <c r="K34" s="150">
        <f t="shared" si="6"/>
        <v>-29881.456693497887</v>
      </c>
      <c r="L34" s="150">
        <f t="shared" si="6"/>
        <v>-29036.590067976329</v>
      </c>
      <c r="M34" s="150">
        <f t="shared" si="6"/>
        <v>-30691.782150737105</v>
      </c>
      <c r="N34" s="150">
        <f t="shared" si="6"/>
        <v>-388584.00614951993</v>
      </c>
    </row>
    <row r="35" spans="1:14" x14ac:dyDescent="0.25">
      <c r="A35" s="151" t="s">
        <v>199</v>
      </c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</row>
    <row r="36" spans="1:14" x14ac:dyDescent="0.25">
      <c r="A36" s="153" t="s">
        <v>240</v>
      </c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</row>
    <row r="37" spans="1:14" x14ac:dyDescent="0.25">
      <c r="A37" s="154" t="s">
        <v>241</v>
      </c>
      <c r="B37" s="155">
        <v>4750</v>
      </c>
      <c r="C37" s="155">
        <v>4750</v>
      </c>
      <c r="D37" s="155">
        <v>4750</v>
      </c>
      <c r="E37" s="155">
        <v>4750</v>
      </c>
      <c r="F37" s="155">
        <v>4750</v>
      </c>
      <c r="G37" s="155">
        <v>4750</v>
      </c>
      <c r="H37" s="155">
        <v>4750</v>
      </c>
      <c r="I37" s="155">
        <v>4750</v>
      </c>
      <c r="J37" s="155">
        <v>4750</v>
      </c>
      <c r="K37" s="155">
        <v>4750</v>
      </c>
      <c r="L37" s="155">
        <v>4750</v>
      </c>
      <c r="M37" s="155">
        <v>4750</v>
      </c>
      <c r="N37" s="155">
        <f>SUM(B37:M37)</f>
        <v>57000</v>
      </c>
    </row>
    <row r="38" spans="1:14" x14ac:dyDescent="0.25">
      <c r="A38" s="156" t="s">
        <v>242</v>
      </c>
      <c r="B38" s="157">
        <f t="shared" ref="B38:N38" si="7">SUM(B37)</f>
        <v>4750</v>
      </c>
      <c r="C38" s="157">
        <f t="shared" si="7"/>
        <v>4750</v>
      </c>
      <c r="D38" s="157">
        <f t="shared" si="7"/>
        <v>4750</v>
      </c>
      <c r="E38" s="157">
        <f t="shared" si="7"/>
        <v>4750</v>
      </c>
      <c r="F38" s="157">
        <f t="shared" si="7"/>
        <v>4750</v>
      </c>
      <c r="G38" s="157">
        <f t="shared" si="7"/>
        <v>4750</v>
      </c>
      <c r="H38" s="157">
        <f t="shared" si="7"/>
        <v>4750</v>
      </c>
      <c r="I38" s="157">
        <f t="shared" si="7"/>
        <v>4750</v>
      </c>
      <c r="J38" s="157">
        <f t="shared" si="7"/>
        <v>4750</v>
      </c>
      <c r="K38" s="157">
        <f t="shared" si="7"/>
        <v>4750</v>
      </c>
      <c r="L38" s="157">
        <f t="shared" si="7"/>
        <v>4750</v>
      </c>
      <c r="M38" s="157">
        <f t="shared" si="7"/>
        <v>4750</v>
      </c>
      <c r="N38" s="157">
        <f t="shared" si="7"/>
        <v>57000</v>
      </c>
    </row>
    <row r="39" spans="1:14" x14ac:dyDescent="0.25">
      <c r="A39" s="153" t="s">
        <v>202</v>
      </c>
      <c r="B39" s="152"/>
      <c r="C39" s="152"/>
      <c r="D39" s="152"/>
      <c r="E39" s="152"/>
      <c r="F39" s="152"/>
      <c r="G39" s="152"/>
      <c r="H39" s="152"/>
      <c r="I39" s="152"/>
      <c r="J39" s="152"/>
      <c r="K39" s="152"/>
      <c r="L39" s="152"/>
    </row>
    <row r="40" spans="1:14" x14ac:dyDescent="0.25">
      <c r="A40" s="154" t="s">
        <v>229</v>
      </c>
      <c r="B40" s="155">
        <v>2500</v>
      </c>
      <c r="C40" s="155">
        <v>2500</v>
      </c>
      <c r="D40" s="155">
        <v>2500</v>
      </c>
      <c r="E40" s="155">
        <v>2500</v>
      </c>
      <c r="F40" s="155">
        <v>2500</v>
      </c>
      <c r="G40" s="155">
        <v>2500</v>
      </c>
      <c r="H40" s="155">
        <v>2500</v>
      </c>
      <c r="I40" s="155">
        <v>2500</v>
      </c>
      <c r="J40" s="155">
        <v>2500</v>
      </c>
      <c r="K40" s="155">
        <v>2500</v>
      </c>
      <c r="L40" s="155">
        <v>2500</v>
      </c>
      <c r="M40" s="155">
        <v>2500</v>
      </c>
      <c r="N40" s="155">
        <f>SUM(B40:M40)</f>
        <v>30000</v>
      </c>
    </row>
    <row r="41" spans="1:14" x14ac:dyDescent="0.25">
      <c r="A41" s="154" t="s">
        <v>243</v>
      </c>
      <c r="B41" s="155">
        <v>8000</v>
      </c>
      <c r="C41" s="155">
        <v>8000</v>
      </c>
      <c r="D41" s="155">
        <v>8000</v>
      </c>
      <c r="E41" s="155">
        <v>8000</v>
      </c>
      <c r="F41" s="155">
        <v>8000</v>
      </c>
      <c r="G41" s="155">
        <v>8000</v>
      </c>
      <c r="H41" s="155">
        <v>8000</v>
      </c>
      <c r="I41" s="155">
        <v>8000</v>
      </c>
      <c r="J41" s="155">
        <v>8000</v>
      </c>
      <c r="K41" s="155">
        <v>8000</v>
      </c>
      <c r="L41" s="155">
        <v>8000</v>
      </c>
      <c r="M41" s="155">
        <v>8000</v>
      </c>
      <c r="N41" s="155">
        <f>SUM(B41:M41)</f>
        <v>96000</v>
      </c>
    </row>
    <row r="42" spans="1:14" x14ac:dyDescent="0.25">
      <c r="A42" s="156" t="s">
        <v>203</v>
      </c>
      <c r="B42" s="157">
        <f t="shared" ref="B42:K42" si="8">SUM(B40:B41)</f>
        <v>10500</v>
      </c>
      <c r="C42" s="157">
        <f t="shared" si="8"/>
        <v>10500</v>
      </c>
      <c r="D42" s="157">
        <f t="shared" si="8"/>
        <v>10500</v>
      </c>
      <c r="E42" s="157">
        <f t="shared" si="8"/>
        <v>10500</v>
      </c>
      <c r="F42" s="157">
        <f t="shared" si="8"/>
        <v>10500</v>
      </c>
      <c r="G42" s="157">
        <f t="shared" si="8"/>
        <v>10500</v>
      </c>
      <c r="H42" s="157">
        <f t="shared" si="8"/>
        <v>10500</v>
      </c>
      <c r="I42" s="157">
        <f t="shared" si="8"/>
        <v>10500</v>
      </c>
      <c r="J42" s="157">
        <f t="shared" si="8"/>
        <v>10500</v>
      </c>
      <c r="K42" s="157">
        <f t="shared" si="8"/>
        <v>10500</v>
      </c>
      <c r="L42" s="157">
        <f>SUM(L40:L41)</f>
        <v>10500</v>
      </c>
      <c r="M42" s="157">
        <f>SUM(M40:M41)</f>
        <v>10500</v>
      </c>
      <c r="N42" s="157">
        <f>SUM(N40:N41)</f>
        <v>126000</v>
      </c>
    </row>
    <row r="43" spans="1:14" x14ac:dyDescent="0.25">
      <c r="A43" s="153" t="s">
        <v>231</v>
      </c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</row>
    <row r="44" spans="1:14" x14ac:dyDescent="0.25">
      <c r="A44" s="154" t="s">
        <v>232</v>
      </c>
      <c r="B44" s="155">
        <v>27341.19</v>
      </c>
      <c r="C44" s="155">
        <v>27341.19</v>
      </c>
      <c r="D44" s="155">
        <v>27341.19</v>
      </c>
      <c r="E44" s="155">
        <v>27341.19</v>
      </c>
      <c r="F44" s="155">
        <v>27341.19</v>
      </c>
      <c r="G44" s="155">
        <v>27341.19</v>
      </c>
      <c r="H44" s="155">
        <v>27341.19</v>
      </c>
      <c r="I44" s="155">
        <v>27341.19</v>
      </c>
      <c r="J44" s="155">
        <v>27341.19</v>
      </c>
      <c r="K44" s="155">
        <v>27341.19</v>
      </c>
      <c r="L44" s="155">
        <v>27341.19</v>
      </c>
      <c r="M44" s="155">
        <v>27341.19</v>
      </c>
      <c r="N44" s="155">
        <f>SUM(B44:M44)</f>
        <v>328094.27999999997</v>
      </c>
    </row>
    <row r="45" spans="1:14" x14ac:dyDescent="0.25">
      <c r="A45" s="154" t="s">
        <v>244</v>
      </c>
      <c r="B45" s="155">
        <v>0</v>
      </c>
      <c r="C45" s="155">
        <v>0</v>
      </c>
      <c r="D45" s="155">
        <v>0</v>
      </c>
      <c r="E45" s="155">
        <v>0</v>
      </c>
      <c r="F45" s="155">
        <v>0</v>
      </c>
      <c r="G45" s="155">
        <v>0</v>
      </c>
      <c r="H45" s="155">
        <v>0</v>
      </c>
      <c r="I45" s="155">
        <v>0</v>
      </c>
      <c r="J45" s="155">
        <v>0</v>
      </c>
      <c r="K45" s="155">
        <v>0</v>
      </c>
      <c r="L45" s="155">
        <v>0</v>
      </c>
      <c r="M45" s="155">
        <v>0</v>
      </c>
      <c r="N45" s="155">
        <f>SUM(B45:M45)</f>
        <v>0</v>
      </c>
    </row>
    <row r="46" spans="1:14" x14ac:dyDescent="0.25">
      <c r="A46" s="156" t="s">
        <v>233</v>
      </c>
      <c r="B46" s="157">
        <f t="shared" ref="B46:N46" si="9">SUM(B44:B45)</f>
        <v>27341.19</v>
      </c>
      <c r="C46" s="157">
        <f t="shared" si="9"/>
        <v>27341.19</v>
      </c>
      <c r="D46" s="157">
        <f t="shared" si="9"/>
        <v>27341.19</v>
      </c>
      <c r="E46" s="157">
        <f t="shared" si="9"/>
        <v>27341.19</v>
      </c>
      <c r="F46" s="157">
        <f t="shared" si="9"/>
        <v>27341.19</v>
      </c>
      <c r="G46" s="157">
        <f t="shared" si="9"/>
        <v>27341.19</v>
      </c>
      <c r="H46" s="157">
        <f t="shared" si="9"/>
        <v>27341.19</v>
      </c>
      <c r="I46" s="157">
        <f t="shared" si="9"/>
        <v>27341.19</v>
      </c>
      <c r="J46" s="157">
        <f t="shared" si="9"/>
        <v>27341.19</v>
      </c>
      <c r="K46" s="157">
        <f t="shared" si="9"/>
        <v>27341.19</v>
      </c>
      <c r="L46" s="157">
        <f t="shared" si="9"/>
        <v>27341.19</v>
      </c>
      <c r="M46" s="157">
        <f t="shared" si="9"/>
        <v>27341.19</v>
      </c>
      <c r="N46" s="157">
        <f t="shared" si="9"/>
        <v>328094.27999999997</v>
      </c>
    </row>
    <row r="47" spans="1:14" x14ac:dyDescent="0.25">
      <c r="A47" s="158" t="s">
        <v>206</v>
      </c>
      <c r="B47" s="157">
        <f>SUM(B38,B46)+B42</f>
        <v>42591.19</v>
      </c>
      <c r="C47" s="157">
        <f t="shared" ref="C47:N47" si="10">SUM(C38,C46)+C42</f>
        <v>42591.19</v>
      </c>
      <c r="D47" s="157">
        <f t="shared" si="10"/>
        <v>42591.19</v>
      </c>
      <c r="E47" s="157">
        <f t="shared" si="10"/>
        <v>42591.19</v>
      </c>
      <c r="F47" s="157">
        <f t="shared" si="10"/>
        <v>42591.19</v>
      </c>
      <c r="G47" s="157">
        <f t="shared" si="10"/>
        <v>42591.19</v>
      </c>
      <c r="H47" s="157">
        <f t="shared" si="10"/>
        <v>42591.19</v>
      </c>
      <c r="I47" s="157">
        <f t="shared" si="10"/>
        <v>42591.19</v>
      </c>
      <c r="J47" s="157">
        <f t="shared" si="10"/>
        <v>42591.19</v>
      </c>
      <c r="K47" s="157">
        <f t="shared" si="10"/>
        <v>42591.19</v>
      </c>
      <c r="L47" s="157">
        <f t="shared" si="10"/>
        <v>42591.19</v>
      </c>
      <c r="M47" s="157">
        <f t="shared" si="10"/>
        <v>42591.19</v>
      </c>
      <c r="N47" s="157">
        <f t="shared" si="10"/>
        <v>511094.27999999997</v>
      </c>
    </row>
    <row r="48" spans="1:14" x14ac:dyDescent="0.25">
      <c r="A48" s="149" t="s">
        <v>31</v>
      </c>
      <c r="B48" s="150">
        <f t="shared" ref="B48:N48" si="11">B34+B47+0</f>
        <v>12399.466557545227</v>
      </c>
      <c r="C48" s="150">
        <f t="shared" si="11"/>
        <v>-17322.966755215552</v>
      </c>
      <c r="D48" s="150">
        <f t="shared" si="11"/>
        <v>13554.599932023673</v>
      </c>
      <c r="E48" s="150">
        <f t="shared" si="11"/>
        <v>13132.166619262895</v>
      </c>
      <c r="F48" s="150">
        <f t="shared" si="11"/>
        <v>12709.733306502116</v>
      </c>
      <c r="G48" s="150">
        <f t="shared" si="11"/>
        <v>11477.033244784448</v>
      </c>
      <c r="H48" s="150">
        <f t="shared" si="11"/>
        <v>11709.733306502116</v>
      </c>
      <c r="I48" s="150">
        <f t="shared" si="11"/>
        <v>13132.166619262895</v>
      </c>
      <c r="J48" s="150">
        <f t="shared" si="11"/>
        <v>13554.599932023673</v>
      </c>
      <c r="K48" s="150">
        <f t="shared" si="11"/>
        <v>12709.733306502116</v>
      </c>
      <c r="L48" s="150">
        <f t="shared" si="11"/>
        <v>13554.599932023673</v>
      </c>
      <c r="M48" s="150">
        <f t="shared" si="11"/>
        <v>11899.407849262898</v>
      </c>
      <c r="N48" s="150">
        <f t="shared" si="11"/>
        <v>122510.27385048004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1639-B295-BD4E-9BC3-18E2674DBCDD}">
  <sheetPr codeName="Sheet6">
    <tabColor rgb="FFFFFF00"/>
  </sheetPr>
  <dimension ref="A1:P80"/>
  <sheetViews>
    <sheetView topLeftCell="A54" zoomScaleNormal="100" workbookViewId="0">
      <selection activeCell="A83" sqref="A83"/>
    </sheetView>
  </sheetViews>
  <sheetFormatPr defaultRowHeight="15.75" x14ac:dyDescent="0.25"/>
  <cols>
    <col min="1" max="1" width="67.25" bestFit="1" customWidth="1"/>
    <col min="2" max="2" width="8.375" bestFit="1" customWidth="1"/>
    <col min="3" max="3" width="9.5" bestFit="1" customWidth="1"/>
    <col min="4" max="4" width="10.375" bestFit="1" customWidth="1"/>
    <col min="5" max="5" width="9.5" bestFit="1" customWidth="1"/>
    <col min="6" max="6" width="10.375" bestFit="1" customWidth="1"/>
    <col min="7" max="8" width="9.5" bestFit="1" customWidth="1"/>
    <col min="9" max="9" width="10.375" bestFit="1" customWidth="1"/>
    <col min="10" max="10" width="9.5" bestFit="1" customWidth="1"/>
    <col min="11" max="11" width="10.375" bestFit="1" customWidth="1"/>
    <col min="12" max="12" width="9.5" bestFit="1" customWidth="1"/>
    <col min="13" max="13" width="8.375" bestFit="1" customWidth="1"/>
    <col min="14" max="14" width="10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245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f>B6+32</f>
        <v>45690</v>
      </c>
      <c r="D6" s="171">
        <f t="shared" ref="D6:M6" si="0">C6+32</f>
        <v>45722</v>
      </c>
      <c r="E6" s="171">
        <f t="shared" si="0"/>
        <v>45754</v>
      </c>
      <c r="F6" s="171">
        <f t="shared" si="0"/>
        <v>45786</v>
      </c>
      <c r="G6" s="171">
        <f t="shared" si="0"/>
        <v>45818</v>
      </c>
      <c r="H6" s="171">
        <f t="shared" si="0"/>
        <v>45850</v>
      </c>
      <c r="I6" s="171">
        <f t="shared" si="0"/>
        <v>45882</v>
      </c>
      <c r="J6" s="171">
        <f t="shared" si="0"/>
        <v>45914</v>
      </c>
      <c r="K6" s="171">
        <f t="shared" si="0"/>
        <v>45946</v>
      </c>
      <c r="L6" s="171">
        <f t="shared" si="0"/>
        <v>45978</v>
      </c>
      <c r="M6" s="171">
        <f t="shared" si="0"/>
        <v>46010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51" t="s">
        <v>246</v>
      </c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</row>
    <row r="9" spans="1:14" x14ac:dyDescent="0.25">
      <c r="A9" s="153" t="s">
        <v>247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s="337" customFormat="1" x14ac:dyDescent="0.25">
      <c r="A10" s="335" t="s">
        <v>248</v>
      </c>
      <c r="B10" s="336">
        <v>-34.511367000000007</v>
      </c>
      <c r="C10" s="336">
        <v>-1535.7558314999999</v>
      </c>
      <c r="D10" s="336">
        <v>-2815.8138074999997</v>
      </c>
      <c r="E10" s="336">
        <v>-1451.0461124999999</v>
      </c>
      <c r="F10" s="336">
        <v>-1793.0223854999999</v>
      </c>
      <c r="G10" s="336">
        <v>-768.66226500000005</v>
      </c>
      <c r="H10" s="336">
        <v>-1109.0698394999999</v>
      </c>
      <c r="I10" s="336">
        <v>-2133.4299600000004</v>
      </c>
      <c r="J10" s="336">
        <v>-1366.3363935</v>
      </c>
      <c r="K10" s="336">
        <v>-1741.2553349999998</v>
      </c>
      <c r="L10" s="336">
        <v>-818.86061700000005</v>
      </c>
      <c r="M10" s="336">
        <v>-119.221086</v>
      </c>
      <c r="N10" s="336">
        <f>SUM(B10:M10)</f>
        <v>-15686.985000000001</v>
      </c>
    </row>
    <row r="11" spans="1:14" s="337" customFormat="1" x14ac:dyDescent="0.25">
      <c r="A11" s="335" t="s">
        <v>249</v>
      </c>
      <c r="B11" s="336">
        <v>-172.55683500000001</v>
      </c>
      <c r="C11" s="336">
        <v>-7678.7791574999992</v>
      </c>
      <c r="D11" s="336">
        <v>-14079.069037499998</v>
      </c>
      <c r="E11" s="336">
        <v>-7255.2305624999999</v>
      </c>
      <c r="F11" s="336">
        <v>-8965.1119275000001</v>
      </c>
      <c r="G11" s="336">
        <v>-3843.3113250000001</v>
      </c>
      <c r="H11" s="336">
        <v>-5545.3491974999997</v>
      </c>
      <c r="I11" s="336">
        <v>-10667.149800000001</v>
      </c>
      <c r="J11" s="336">
        <v>-6831.6819674999997</v>
      </c>
      <c r="K11" s="336">
        <v>-8706.2766749999992</v>
      </c>
      <c r="L11" s="336">
        <v>-4094.303085</v>
      </c>
      <c r="M11" s="336">
        <v>-596.10542999999996</v>
      </c>
      <c r="N11" s="336">
        <f>SUM(B11:M11)</f>
        <v>-78434.925000000003</v>
      </c>
    </row>
    <row r="12" spans="1:14" x14ac:dyDescent="0.25">
      <c r="A12" s="156" t="s">
        <v>250</v>
      </c>
      <c r="B12" s="157">
        <f t="shared" ref="B12:N12" si="1">SUM(B10:B11)</f>
        <v>-207.06820200000001</v>
      </c>
      <c r="C12" s="157">
        <f t="shared" si="1"/>
        <v>-9214.5349889999998</v>
      </c>
      <c r="D12" s="157">
        <f t="shared" si="1"/>
        <v>-16894.882844999996</v>
      </c>
      <c r="E12" s="157">
        <f t="shared" si="1"/>
        <v>-8706.2766749999992</v>
      </c>
      <c r="F12" s="157">
        <f t="shared" si="1"/>
        <v>-10758.134313</v>
      </c>
      <c r="G12" s="157">
        <f t="shared" si="1"/>
        <v>-4611.9735900000005</v>
      </c>
      <c r="H12" s="157">
        <f t="shared" si="1"/>
        <v>-6654.4190369999997</v>
      </c>
      <c r="I12" s="157">
        <f t="shared" si="1"/>
        <v>-12800.579760000001</v>
      </c>
      <c r="J12" s="157">
        <f t="shared" si="1"/>
        <v>-8198.0183610000004</v>
      </c>
      <c r="K12" s="157">
        <f t="shared" si="1"/>
        <v>-10447.532009999999</v>
      </c>
      <c r="L12" s="157">
        <f t="shared" si="1"/>
        <v>-4913.1637019999998</v>
      </c>
      <c r="M12" s="157">
        <f t="shared" si="1"/>
        <v>-715.32651599999997</v>
      </c>
      <c r="N12" s="157">
        <f t="shared" si="1"/>
        <v>-94121.91</v>
      </c>
    </row>
    <row r="13" spans="1:14" x14ac:dyDescent="0.25">
      <c r="A13" s="153" t="s">
        <v>251</v>
      </c>
      <c r="B13" s="348"/>
      <c r="C13" s="348"/>
      <c r="D13" s="348"/>
      <c r="E13" s="348"/>
      <c r="F13" s="348"/>
      <c r="G13" s="348"/>
      <c r="H13" s="348"/>
      <c r="I13" s="348"/>
      <c r="J13" s="348"/>
      <c r="K13" s="348"/>
      <c r="L13" s="348"/>
      <c r="M13" s="348"/>
      <c r="N13" s="152"/>
    </row>
    <row r="14" spans="1:14" s="337" customFormat="1" x14ac:dyDescent="0.25">
      <c r="A14" s="335" t="s">
        <v>252</v>
      </c>
      <c r="B14" s="336">
        <v>2300.7578000000003</v>
      </c>
      <c r="C14" s="336">
        <v>102383.7221</v>
      </c>
      <c r="D14" s="336">
        <v>187720.92049999998</v>
      </c>
      <c r="E14" s="336">
        <v>96736.407500000001</v>
      </c>
      <c r="F14" s="336">
        <v>119534.8257</v>
      </c>
      <c r="G14" s="336">
        <v>51244.151000000005</v>
      </c>
      <c r="H14" s="336">
        <v>73937.989300000001</v>
      </c>
      <c r="I14" s="336">
        <v>142228.66400000002</v>
      </c>
      <c r="J14" s="336">
        <v>91089.092900000003</v>
      </c>
      <c r="K14" s="336">
        <v>116083.689</v>
      </c>
      <c r="L14" s="336">
        <v>54590.707800000004</v>
      </c>
      <c r="M14" s="336">
        <v>7948.0724</v>
      </c>
      <c r="N14" s="336">
        <f>SUM(B14:M14)</f>
        <v>1045799</v>
      </c>
    </row>
    <row r="15" spans="1:14" x14ac:dyDescent="0.25">
      <c r="A15" s="156" t="s">
        <v>253</v>
      </c>
      <c r="B15" s="157">
        <f t="shared" ref="B15:N15" si="2">SUM(B14)</f>
        <v>2300.7578000000003</v>
      </c>
      <c r="C15" s="157">
        <f t="shared" si="2"/>
        <v>102383.7221</v>
      </c>
      <c r="D15" s="157">
        <f t="shared" si="2"/>
        <v>187720.92049999998</v>
      </c>
      <c r="E15" s="157">
        <f t="shared" si="2"/>
        <v>96736.407500000001</v>
      </c>
      <c r="F15" s="157">
        <f t="shared" si="2"/>
        <v>119534.8257</v>
      </c>
      <c r="G15" s="157">
        <f t="shared" si="2"/>
        <v>51244.151000000005</v>
      </c>
      <c r="H15" s="157">
        <f t="shared" si="2"/>
        <v>73937.989300000001</v>
      </c>
      <c r="I15" s="157">
        <f t="shared" si="2"/>
        <v>142228.66400000002</v>
      </c>
      <c r="J15" s="157">
        <f t="shared" si="2"/>
        <v>91089.092900000003</v>
      </c>
      <c r="K15" s="157">
        <f t="shared" si="2"/>
        <v>116083.689</v>
      </c>
      <c r="L15" s="157">
        <f t="shared" si="2"/>
        <v>54590.707800000004</v>
      </c>
      <c r="M15" s="157">
        <f t="shared" si="2"/>
        <v>7948.0724</v>
      </c>
      <c r="N15" s="157">
        <f t="shared" si="2"/>
        <v>1045799</v>
      </c>
    </row>
    <row r="16" spans="1:14" x14ac:dyDescent="0.25">
      <c r="A16" s="158" t="s">
        <v>254</v>
      </c>
      <c r="B16" s="157">
        <f t="shared" ref="B16:M16" si="3">SUM(B12,B15)</f>
        <v>2093.6895980000004</v>
      </c>
      <c r="C16" s="157">
        <f t="shared" si="3"/>
        <v>93169.187111000007</v>
      </c>
      <c r="D16" s="157">
        <f t="shared" si="3"/>
        <v>170826.03765499999</v>
      </c>
      <c r="E16" s="157">
        <f t="shared" si="3"/>
        <v>88030.130825</v>
      </c>
      <c r="F16" s="157">
        <f>SUM(F12,F15)</f>
        <v>108776.691387</v>
      </c>
      <c r="G16" s="157">
        <f t="shared" si="3"/>
        <v>46632.177410000004</v>
      </c>
      <c r="H16" s="157">
        <f t="shared" si="3"/>
        <v>67283.570263000001</v>
      </c>
      <c r="I16" s="157">
        <f t="shared" si="3"/>
        <v>129428.08424000003</v>
      </c>
      <c r="J16" s="157">
        <f t="shared" si="3"/>
        <v>82891.074539000008</v>
      </c>
      <c r="K16" s="157">
        <f t="shared" si="3"/>
        <v>105636.15699</v>
      </c>
      <c r="L16" s="157">
        <f t="shared" si="3"/>
        <v>49677.544098000006</v>
      </c>
      <c r="M16" s="157">
        <f t="shared" si="3"/>
        <v>7232.7458839999999</v>
      </c>
      <c r="N16" s="157">
        <f>SUM(N12,N15)</f>
        <v>951677.09</v>
      </c>
    </row>
    <row r="17" spans="1:16" x14ac:dyDescent="0.25">
      <c r="A17" s="151" t="s">
        <v>255</v>
      </c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</row>
    <row r="18" spans="1:16" s="337" customFormat="1" x14ac:dyDescent="0.25">
      <c r="A18" s="338" t="s">
        <v>256</v>
      </c>
      <c r="B18" s="336">
        <v>732.79135930000007</v>
      </c>
      <c r="C18" s="336">
        <v>32609.215488850001</v>
      </c>
      <c r="D18" s="336">
        <v>59789.113179249995</v>
      </c>
      <c r="E18" s="336">
        <v>30810.545788749998</v>
      </c>
      <c r="F18" s="336">
        <v>38071.841985449995</v>
      </c>
      <c r="G18" s="336">
        <v>16321.2620935</v>
      </c>
      <c r="H18" s="336">
        <v>23549.249592050001</v>
      </c>
      <c r="I18" s="336">
        <v>45299.829484000009</v>
      </c>
      <c r="J18" s="336">
        <v>29011.876088650002</v>
      </c>
      <c r="K18" s="336">
        <v>36972.654946499999</v>
      </c>
      <c r="L18" s="336">
        <v>17387.140434299999</v>
      </c>
      <c r="M18" s="336">
        <v>2531.4610593999996</v>
      </c>
      <c r="N18" s="336">
        <f>SUM(B18:M18)</f>
        <v>333086.98150000005</v>
      </c>
    </row>
    <row r="19" spans="1:16" x14ac:dyDescent="0.25">
      <c r="A19" s="158" t="s">
        <v>257</v>
      </c>
      <c r="B19" s="157">
        <f t="shared" ref="B19:N19" si="4">SUM(B18)</f>
        <v>732.79135930000007</v>
      </c>
      <c r="C19" s="157">
        <f t="shared" si="4"/>
        <v>32609.215488850001</v>
      </c>
      <c r="D19" s="157">
        <f t="shared" si="4"/>
        <v>59789.113179249995</v>
      </c>
      <c r="E19" s="157">
        <f t="shared" si="4"/>
        <v>30810.545788749998</v>
      </c>
      <c r="F19" s="157">
        <f t="shared" si="4"/>
        <v>38071.841985449995</v>
      </c>
      <c r="G19" s="157">
        <f t="shared" si="4"/>
        <v>16321.2620935</v>
      </c>
      <c r="H19" s="157">
        <f t="shared" si="4"/>
        <v>23549.249592050001</v>
      </c>
      <c r="I19" s="157">
        <f t="shared" si="4"/>
        <v>45299.829484000009</v>
      </c>
      <c r="J19" s="157">
        <f t="shared" si="4"/>
        <v>29011.876088650002</v>
      </c>
      <c r="K19" s="157">
        <f t="shared" si="4"/>
        <v>36972.654946499999</v>
      </c>
      <c r="L19" s="157">
        <f t="shared" si="4"/>
        <v>17387.140434299999</v>
      </c>
      <c r="M19" s="157">
        <f t="shared" si="4"/>
        <v>2531.4610593999996</v>
      </c>
      <c r="N19" s="157">
        <f t="shared" si="4"/>
        <v>333086.98150000005</v>
      </c>
    </row>
    <row r="20" spans="1:16" x14ac:dyDescent="0.25">
      <c r="A20" s="149" t="s">
        <v>193</v>
      </c>
      <c r="B20" s="150">
        <f t="shared" ref="B20:N20" si="5">B16-B19</f>
        <v>1360.8982387000003</v>
      </c>
      <c r="C20" s="150">
        <f t="shared" si="5"/>
        <v>60559.971622150006</v>
      </c>
      <c r="D20" s="150">
        <f t="shared" si="5"/>
        <v>111036.92447575</v>
      </c>
      <c r="E20" s="150">
        <f t="shared" si="5"/>
        <v>57219.585036250006</v>
      </c>
      <c r="F20" s="150">
        <f t="shared" si="5"/>
        <v>70704.849401550004</v>
      </c>
      <c r="G20" s="150">
        <f t="shared" si="5"/>
        <v>30310.915316500003</v>
      </c>
      <c r="H20" s="150">
        <f t="shared" si="5"/>
        <v>43734.320670950001</v>
      </c>
      <c r="I20" s="150">
        <f t="shared" si="5"/>
        <v>84128.254756000009</v>
      </c>
      <c r="J20" s="150">
        <f t="shared" si="5"/>
        <v>53879.198450350006</v>
      </c>
      <c r="K20" s="150">
        <f t="shared" si="5"/>
        <v>68663.502043500004</v>
      </c>
      <c r="L20" s="150">
        <f t="shared" si="5"/>
        <v>32290.403663700006</v>
      </c>
      <c r="M20" s="150">
        <f t="shared" si="5"/>
        <v>4701.2848246000003</v>
      </c>
      <c r="N20" s="150">
        <f t="shared" si="5"/>
        <v>618590.10849999986</v>
      </c>
      <c r="P20" s="349">
        <f>N20/N16</f>
        <v>0.64999999999999991</v>
      </c>
    </row>
    <row r="21" spans="1:16" x14ac:dyDescent="0.25">
      <c r="A21" s="151" t="s">
        <v>194</v>
      </c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</row>
    <row r="22" spans="1:16" x14ac:dyDescent="0.25">
      <c r="A22" s="153" t="s">
        <v>195</v>
      </c>
      <c r="B22" s="152"/>
      <c r="C22" s="152"/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N22" s="152"/>
    </row>
    <row r="23" spans="1:16" s="337" customFormat="1" x14ac:dyDescent="0.25">
      <c r="A23" s="335" t="s">
        <v>258</v>
      </c>
      <c r="B23" s="336">
        <v>0</v>
      </c>
      <c r="C23" s="336">
        <v>0</v>
      </c>
      <c r="D23" s="336">
        <v>0</v>
      </c>
      <c r="E23" s="336">
        <v>0</v>
      </c>
      <c r="F23" s="336">
        <v>0</v>
      </c>
      <c r="G23" s="336">
        <v>120</v>
      </c>
      <c r="H23" s="336">
        <v>0</v>
      </c>
      <c r="I23" s="336">
        <v>410</v>
      </c>
      <c r="J23" s="336">
        <v>370</v>
      </c>
      <c r="K23" s="336">
        <v>0</v>
      </c>
      <c r="L23" s="336">
        <v>0</v>
      </c>
      <c r="M23" s="336">
        <v>0</v>
      </c>
      <c r="N23" s="336">
        <f t="shared" ref="N23:N53" si="6">SUM(B23:M23)</f>
        <v>900</v>
      </c>
    </row>
    <row r="24" spans="1:16" s="337" customFormat="1" x14ac:dyDescent="0.25">
      <c r="A24" s="335" t="s">
        <v>259</v>
      </c>
      <c r="B24" s="336">
        <v>0</v>
      </c>
      <c r="C24" s="336">
        <v>300</v>
      </c>
      <c r="D24" s="336">
        <v>1200</v>
      </c>
      <c r="E24" s="336">
        <v>900</v>
      </c>
      <c r="F24" s="336">
        <v>1200</v>
      </c>
      <c r="G24" s="336">
        <v>0</v>
      </c>
      <c r="H24" s="336">
        <v>300</v>
      </c>
      <c r="I24" s="336">
        <v>1200</v>
      </c>
      <c r="J24" s="336">
        <v>1200</v>
      </c>
      <c r="K24" s="336">
        <v>6700</v>
      </c>
      <c r="L24" s="336">
        <v>0</v>
      </c>
      <c r="M24" s="336">
        <v>0</v>
      </c>
      <c r="N24" s="336">
        <f t="shared" si="6"/>
        <v>13000</v>
      </c>
    </row>
    <row r="25" spans="1:16" s="337" customFormat="1" x14ac:dyDescent="0.25">
      <c r="A25" s="335" t="s">
        <v>260</v>
      </c>
      <c r="B25" s="336">
        <v>0</v>
      </c>
      <c r="C25" s="336">
        <v>0</v>
      </c>
      <c r="D25" s="336">
        <v>0</v>
      </c>
      <c r="E25" s="336">
        <v>0</v>
      </c>
      <c r="F25" s="336">
        <v>0</v>
      </c>
      <c r="G25" s="336">
        <v>0</v>
      </c>
      <c r="H25" s="336">
        <v>0</v>
      </c>
      <c r="I25" s="336">
        <v>0</v>
      </c>
      <c r="J25" s="336">
        <v>0</v>
      </c>
      <c r="K25" s="336">
        <v>0</v>
      </c>
      <c r="L25" s="336">
        <v>0</v>
      </c>
      <c r="M25" s="336">
        <v>0</v>
      </c>
      <c r="N25" s="336">
        <f t="shared" si="6"/>
        <v>0</v>
      </c>
    </row>
    <row r="26" spans="1:16" s="337" customFormat="1" x14ac:dyDescent="0.25">
      <c r="A26" s="335" t="s">
        <v>261</v>
      </c>
      <c r="B26" s="336">
        <v>0</v>
      </c>
      <c r="C26" s="336">
        <v>150</v>
      </c>
      <c r="D26" s="336">
        <v>0</v>
      </c>
      <c r="E26" s="336">
        <v>0</v>
      </c>
      <c r="F26" s="336">
        <v>0</v>
      </c>
      <c r="G26" s="336">
        <v>0</v>
      </c>
      <c r="H26" s="336">
        <v>0</v>
      </c>
      <c r="I26" s="336">
        <v>150</v>
      </c>
      <c r="J26" s="336">
        <v>0</v>
      </c>
      <c r="K26" s="336">
        <v>0</v>
      </c>
      <c r="L26" s="336">
        <v>0</v>
      </c>
      <c r="M26" s="336">
        <v>0</v>
      </c>
      <c r="N26" s="336">
        <f t="shared" si="6"/>
        <v>300</v>
      </c>
    </row>
    <row r="27" spans="1:16" s="337" customFormat="1" x14ac:dyDescent="0.25">
      <c r="A27" s="335" t="s">
        <v>27</v>
      </c>
      <c r="B27" s="336">
        <v>500</v>
      </c>
      <c r="C27" s="336">
        <v>1000</v>
      </c>
      <c r="D27" s="336">
        <v>1000</v>
      </c>
      <c r="E27" s="336">
        <v>500</v>
      </c>
      <c r="F27" s="336">
        <v>1000</v>
      </c>
      <c r="G27" s="336">
        <v>800</v>
      </c>
      <c r="H27" s="336">
        <v>200</v>
      </c>
      <c r="I27" s="336">
        <v>1000</v>
      </c>
      <c r="J27" s="336">
        <v>1000</v>
      </c>
      <c r="K27" s="336">
        <v>1000</v>
      </c>
      <c r="L27" s="336">
        <v>500</v>
      </c>
      <c r="M27" s="336">
        <v>0</v>
      </c>
      <c r="N27" s="336">
        <f t="shared" si="6"/>
        <v>8500</v>
      </c>
    </row>
    <row r="28" spans="1:16" s="337" customFormat="1" x14ac:dyDescent="0.25">
      <c r="A28" s="335" t="s">
        <v>26</v>
      </c>
      <c r="B28" s="336">
        <v>380</v>
      </c>
      <c r="C28" s="336">
        <v>1400</v>
      </c>
      <c r="D28" s="336">
        <v>1900</v>
      </c>
      <c r="E28" s="336">
        <v>1500</v>
      </c>
      <c r="F28" s="336">
        <v>1800</v>
      </c>
      <c r="G28" s="336">
        <v>800</v>
      </c>
      <c r="H28" s="336">
        <v>800</v>
      </c>
      <c r="I28" s="336">
        <v>1060</v>
      </c>
      <c r="J28" s="336">
        <v>1000</v>
      </c>
      <c r="K28" s="336">
        <v>1700</v>
      </c>
      <c r="L28" s="336">
        <v>1000</v>
      </c>
      <c r="M28" s="336">
        <v>400</v>
      </c>
      <c r="N28" s="336">
        <f t="shared" si="6"/>
        <v>13740</v>
      </c>
    </row>
    <row r="29" spans="1:16" s="337" customFormat="1" x14ac:dyDescent="0.25">
      <c r="A29" s="335" t="s">
        <v>212</v>
      </c>
      <c r="B29" s="336">
        <v>1370</v>
      </c>
      <c r="C29" s="336">
        <v>1400</v>
      </c>
      <c r="D29" s="336">
        <v>3500</v>
      </c>
      <c r="E29" s="336">
        <v>2300</v>
      </c>
      <c r="F29" s="336">
        <v>1700</v>
      </c>
      <c r="G29" s="336">
        <v>3000</v>
      </c>
      <c r="H29" s="336">
        <v>1500</v>
      </c>
      <c r="I29" s="336">
        <v>2400</v>
      </c>
      <c r="J29" s="336">
        <v>2250</v>
      </c>
      <c r="K29" s="336">
        <v>1600</v>
      </c>
      <c r="L29" s="336">
        <v>1600</v>
      </c>
      <c r="M29" s="336">
        <v>3000</v>
      </c>
      <c r="N29" s="336">
        <f t="shared" si="6"/>
        <v>25620</v>
      </c>
    </row>
    <row r="30" spans="1:16" s="337" customFormat="1" x14ac:dyDescent="0.25">
      <c r="A30" s="335" t="s">
        <v>235</v>
      </c>
      <c r="B30" s="336">
        <v>0</v>
      </c>
      <c r="C30" s="336">
        <v>100</v>
      </c>
      <c r="D30" s="336">
        <v>150</v>
      </c>
      <c r="E30" s="336">
        <v>50</v>
      </c>
      <c r="F30" s="336">
        <v>50</v>
      </c>
      <c r="G30" s="336">
        <v>150</v>
      </c>
      <c r="H30" s="336">
        <v>50</v>
      </c>
      <c r="I30" s="336">
        <v>150</v>
      </c>
      <c r="J30" s="336">
        <v>300</v>
      </c>
      <c r="K30" s="336">
        <v>150</v>
      </c>
      <c r="L30" s="336">
        <v>100</v>
      </c>
      <c r="M30" s="336">
        <v>0</v>
      </c>
      <c r="N30" s="336">
        <f t="shared" si="6"/>
        <v>1250</v>
      </c>
    </row>
    <row r="31" spans="1:16" s="337" customFormat="1" x14ac:dyDescent="0.25">
      <c r="A31" s="335" t="s">
        <v>213</v>
      </c>
      <c r="B31" s="336">
        <v>140</v>
      </c>
      <c r="C31" s="336">
        <v>120</v>
      </c>
      <c r="D31" s="336">
        <v>120</v>
      </c>
      <c r="E31" s="336">
        <v>120</v>
      </c>
      <c r="F31" s="336">
        <v>120</v>
      </c>
      <c r="G31" s="336">
        <v>120</v>
      </c>
      <c r="H31" s="336">
        <v>120</v>
      </c>
      <c r="I31" s="336">
        <v>120</v>
      </c>
      <c r="J31" s="336">
        <v>120</v>
      </c>
      <c r="K31" s="336">
        <v>120</v>
      </c>
      <c r="L31" s="336">
        <v>120</v>
      </c>
      <c r="M31" s="336">
        <v>120</v>
      </c>
      <c r="N31" s="336">
        <f t="shared" si="6"/>
        <v>1460</v>
      </c>
    </row>
    <row r="32" spans="1:16" s="337" customFormat="1" x14ac:dyDescent="0.25">
      <c r="A32" s="335" t="s">
        <v>262</v>
      </c>
      <c r="B32" s="336">
        <v>0</v>
      </c>
      <c r="C32" s="336">
        <v>500</v>
      </c>
      <c r="D32" s="336">
        <v>600</v>
      </c>
      <c r="E32" s="336">
        <v>800</v>
      </c>
      <c r="F32" s="336">
        <v>1100</v>
      </c>
      <c r="G32" s="336">
        <v>400</v>
      </c>
      <c r="H32" s="336">
        <v>400</v>
      </c>
      <c r="I32" s="336">
        <v>1100</v>
      </c>
      <c r="J32" s="336">
        <v>500</v>
      </c>
      <c r="K32" s="336">
        <v>300</v>
      </c>
      <c r="L32" s="336">
        <v>300</v>
      </c>
      <c r="M32" s="336">
        <v>0</v>
      </c>
      <c r="N32" s="336">
        <f t="shared" si="6"/>
        <v>6000</v>
      </c>
    </row>
    <row r="33" spans="1:14" s="337" customFormat="1" x14ac:dyDescent="0.25">
      <c r="A33" s="335" t="s">
        <v>214</v>
      </c>
      <c r="B33" s="336">
        <v>1150</v>
      </c>
      <c r="C33" s="336">
        <v>900</v>
      </c>
      <c r="D33" s="336">
        <v>1050</v>
      </c>
      <c r="E33" s="336">
        <v>900</v>
      </c>
      <c r="F33" s="336">
        <v>1050</v>
      </c>
      <c r="G33" s="336">
        <v>950</v>
      </c>
      <c r="H33" s="336">
        <v>1500</v>
      </c>
      <c r="I33" s="336">
        <v>1500</v>
      </c>
      <c r="J33" s="336">
        <v>900</v>
      </c>
      <c r="K33" s="336">
        <v>950</v>
      </c>
      <c r="L33" s="336">
        <v>900</v>
      </c>
      <c r="M33" s="336">
        <v>1150</v>
      </c>
      <c r="N33" s="336">
        <f t="shared" si="6"/>
        <v>12900</v>
      </c>
    </row>
    <row r="34" spans="1:14" s="337" customFormat="1" x14ac:dyDescent="0.25">
      <c r="A34" s="335" t="s">
        <v>263</v>
      </c>
      <c r="B34" s="336">
        <v>0</v>
      </c>
      <c r="C34" s="336">
        <v>0</v>
      </c>
      <c r="D34" s="336">
        <v>0</v>
      </c>
      <c r="E34" s="336">
        <v>0</v>
      </c>
      <c r="F34" s="336">
        <v>0</v>
      </c>
      <c r="G34" s="336">
        <v>0</v>
      </c>
      <c r="H34" s="336">
        <v>0</v>
      </c>
      <c r="I34" s="336">
        <v>0</v>
      </c>
      <c r="J34" s="336">
        <v>0</v>
      </c>
      <c r="K34" s="336">
        <v>0</v>
      </c>
      <c r="L34" s="336">
        <v>0</v>
      </c>
      <c r="M34" s="336">
        <v>0</v>
      </c>
      <c r="N34" s="336">
        <f t="shared" si="6"/>
        <v>0</v>
      </c>
    </row>
    <row r="35" spans="1:14" s="337" customFormat="1" x14ac:dyDescent="0.25">
      <c r="A35" s="335" t="s">
        <v>264</v>
      </c>
      <c r="B35" s="336">
        <v>300</v>
      </c>
      <c r="C35" s="336">
        <v>200</v>
      </c>
      <c r="D35" s="336">
        <v>200</v>
      </c>
      <c r="E35" s="336">
        <v>200</v>
      </c>
      <c r="F35" s="336">
        <v>100</v>
      </c>
      <c r="G35" s="336">
        <v>100</v>
      </c>
      <c r="H35" s="336">
        <v>100</v>
      </c>
      <c r="I35" s="336">
        <v>100</v>
      </c>
      <c r="J35" s="336">
        <v>100</v>
      </c>
      <c r="K35" s="336">
        <v>100</v>
      </c>
      <c r="L35" s="336">
        <v>100</v>
      </c>
      <c r="M35" s="336">
        <v>100</v>
      </c>
      <c r="N35" s="336">
        <f t="shared" si="6"/>
        <v>1700</v>
      </c>
    </row>
    <row r="36" spans="1:14" s="337" customFormat="1" x14ac:dyDescent="0.25">
      <c r="A36" s="335" t="s">
        <v>265</v>
      </c>
      <c r="B36" s="336">
        <v>0</v>
      </c>
      <c r="C36" s="336">
        <v>500</v>
      </c>
      <c r="D36" s="336">
        <v>0</v>
      </c>
      <c r="E36" s="336">
        <v>0</v>
      </c>
      <c r="F36" s="336">
        <v>0</v>
      </c>
      <c r="G36" s="336">
        <v>0</v>
      </c>
      <c r="H36" s="336">
        <v>500</v>
      </c>
      <c r="I36" s="336">
        <v>0</v>
      </c>
      <c r="J36" s="336">
        <v>0</v>
      </c>
      <c r="K36" s="336">
        <v>0</v>
      </c>
      <c r="L36" s="336">
        <v>0</v>
      </c>
      <c r="M36" s="336">
        <v>0</v>
      </c>
      <c r="N36" s="336">
        <f t="shared" si="6"/>
        <v>1000</v>
      </c>
    </row>
    <row r="37" spans="1:14" s="337" customFormat="1" x14ac:dyDescent="0.25">
      <c r="A37" s="335" t="s">
        <v>236</v>
      </c>
      <c r="B37" s="336">
        <v>440</v>
      </c>
      <c r="C37" s="336">
        <v>600</v>
      </c>
      <c r="D37" s="336">
        <v>400</v>
      </c>
      <c r="E37" s="336">
        <v>380</v>
      </c>
      <c r="F37" s="336">
        <v>400</v>
      </c>
      <c r="G37" s="336">
        <v>450</v>
      </c>
      <c r="H37" s="336">
        <v>300</v>
      </c>
      <c r="I37" s="336">
        <v>400</v>
      </c>
      <c r="J37" s="336">
        <v>300</v>
      </c>
      <c r="K37" s="336">
        <v>350</v>
      </c>
      <c r="L37" s="336">
        <v>330</v>
      </c>
      <c r="M37" s="336">
        <v>300</v>
      </c>
      <c r="N37" s="336">
        <f t="shared" si="6"/>
        <v>4650</v>
      </c>
    </row>
    <row r="38" spans="1:14" s="337" customFormat="1" x14ac:dyDescent="0.25">
      <c r="A38" s="335" t="s">
        <v>237</v>
      </c>
      <c r="B38" s="336">
        <v>1245</v>
      </c>
      <c r="C38" s="336">
        <v>2000</v>
      </c>
      <c r="D38" s="336">
        <v>0</v>
      </c>
      <c r="E38" s="336">
        <v>0</v>
      </c>
      <c r="F38" s="336">
        <v>250</v>
      </c>
      <c r="G38" s="336">
        <v>0</v>
      </c>
      <c r="H38" s="336">
        <v>700</v>
      </c>
      <c r="I38" s="336">
        <v>150</v>
      </c>
      <c r="J38" s="336">
        <v>0</v>
      </c>
      <c r="K38" s="336">
        <v>700</v>
      </c>
      <c r="L38" s="336">
        <v>500</v>
      </c>
      <c r="M38" s="336">
        <v>650</v>
      </c>
      <c r="N38" s="336">
        <f t="shared" si="6"/>
        <v>6195</v>
      </c>
    </row>
    <row r="39" spans="1:14" s="337" customFormat="1" x14ac:dyDescent="0.25">
      <c r="A39" s="335" t="s">
        <v>266</v>
      </c>
      <c r="B39" s="336">
        <v>30</v>
      </c>
      <c r="C39" s="336">
        <v>30</v>
      </c>
      <c r="D39" s="336">
        <v>30</v>
      </c>
      <c r="E39" s="336">
        <v>30</v>
      </c>
      <c r="F39" s="336">
        <v>30</v>
      </c>
      <c r="G39" s="336">
        <v>30</v>
      </c>
      <c r="H39" s="336">
        <v>30</v>
      </c>
      <c r="I39" s="336">
        <v>30</v>
      </c>
      <c r="J39" s="336">
        <v>30</v>
      </c>
      <c r="K39" s="336">
        <v>30</v>
      </c>
      <c r="L39" s="336">
        <v>30</v>
      </c>
      <c r="M39" s="336">
        <v>30</v>
      </c>
      <c r="N39" s="336">
        <f t="shared" si="6"/>
        <v>360</v>
      </c>
    </row>
    <row r="40" spans="1:14" s="337" customFormat="1" x14ac:dyDescent="0.25">
      <c r="A40" s="335" t="s">
        <v>267</v>
      </c>
      <c r="B40" s="336">
        <v>200</v>
      </c>
      <c r="C40" s="336">
        <v>200</v>
      </c>
      <c r="D40" s="336">
        <v>200</v>
      </c>
      <c r="E40" s="336">
        <v>200</v>
      </c>
      <c r="F40" s="336">
        <v>200</v>
      </c>
      <c r="G40" s="336">
        <v>200</v>
      </c>
      <c r="H40" s="336">
        <v>200</v>
      </c>
      <c r="I40" s="336">
        <v>200</v>
      </c>
      <c r="J40" s="336">
        <v>200</v>
      </c>
      <c r="K40" s="336">
        <v>200</v>
      </c>
      <c r="L40" s="336">
        <v>200</v>
      </c>
      <c r="M40" s="336">
        <v>200</v>
      </c>
      <c r="N40" s="336">
        <f t="shared" si="6"/>
        <v>2400</v>
      </c>
    </row>
    <row r="41" spans="1:14" s="337" customFormat="1" x14ac:dyDescent="0.25">
      <c r="A41" s="335" t="s">
        <v>268</v>
      </c>
      <c r="B41" s="336">
        <v>0</v>
      </c>
      <c r="C41" s="336">
        <v>0</v>
      </c>
      <c r="D41" s="336">
        <v>0</v>
      </c>
      <c r="E41" s="336">
        <v>0</v>
      </c>
      <c r="F41" s="336">
        <v>0</v>
      </c>
      <c r="G41" s="336">
        <v>0</v>
      </c>
      <c r="H41" s="336">
        <v>0</v>
      </c>
      <c r="I41" s="336">
        <v>0</v>
      </c>
      <c r="J41" s="336">
        <v>0</v>
      </c>
      <c r="K41" s="336">
        <v>0</v>
      </c>
      <c r="L41" s="336">
        <v>0</v>
      </c>
      <c r="M41" s="336">
        <v>0</v>
      </c>
      <c r="N41" s="336">
        <f t="shared" si="6"/>
        <v>0</v>
      </c>
    </row>
    <row r="42" spans="1:14" s="337" customFormat="1" x14ac:dyDescent="0.25">
      <c r="A42" s="335" t="s">
        <v>269</v>
      </c>
      <c r="B42" s="336">
        <v>0</v>
      </c>
      <c r="C42" s="336">
        <v>0</v>
      </c>
      <c r="D42" s="336">
        <v>500</v>
      </c>
      <c r="E42" s="336">
        <v>0</v>
      </c>
      <c r="F42" s="336">
        <v>0</v>
      </c>
      <c r="G42" s="336">
        <v>0</v>
      </c>
      <c r="H42" s="336">
        <v>0</v>
      </c>
      <c r="I42" s="336">
        <v>0</v>
      </c>
      <c r="J42" s="336">
        <v>0</v>
      </c>
      <c r="K42" s="336">
        <v>0</v>
      </c>
      <c r="L42" s="336">
        <v>0</v>
      </c>
      <c r="M42" s="336">
        <v>0</v>
      </c>
      <c r="N42" s="336">
        <f t="shared" si="6"/>
        <v>500</v>
      </c>
    </row>
    <row r="43" spans="1:14" x14ac:dyDescent="0.25">
      <c r="A43" s="154" t="s">
        <v>270</v>
      </c>
      <c r="B43" s="155">
        <v>325</v>
      </c>
      <c r="C43" s="155">
        <v>325</v>
      </c>
      <c r="D43" s="155">
        <v>325</v>
      </c>
      <c r="E43" s="155">
        <v>325</v>
      </c>
      <c r="F43" s="155">
        <v>325</v>
      </c>
      <c r="G43" s="155">
        <v>325</v>
      </c>
      <c r="H43" s="155">
        <v>325</v>
      </c>
      <c r="I43" s="155">
        <v>325</v>
      </c>
      <c r="J43" s="155">
        <v>325</v>
      </c>
      <c r="K43" s="155">
        <v>325</v>
      </c>
      <c r="L43" s="155">
        <v>325</v>
      </c>
      <c r="M43" s="155">
        <v>325</v>
      </c>
      <c r="N43" s="155">
        <f t="shared" si="6"/>
        <v>3900</v>
      </c>
    </row>
    <row r="44" spans="1:14" s="337" customFormat="1" x14ac:dyDescent="0.25">
      <c r="A44" s="335" t="s">
        <v>238</v>
      </c>
      <c r="B44" s="336">
        <v>500</v>
      </c>
      <c r="C44" s="336">
        <v>500</v>
      </c>
      <c r="D44" s="336">
        <v>500</v>
      </c>
      <c r="E44" s="336">
        <v>500</v>
      </c>
      <c r="F44" s="336">
        <v>500</v>
      </c>
      <c r="G44" s="336">
        <v>500</v>
      </c>
      <c r="H44" s="336">
        <v>500</v>
      </c>
      <c r="I44" s="336">
        <v>500</v>
      </c>
      <c r="J44" s="336">
        <v>500</v>
      </c>
      <c r="K44" s="336">
        <v>500</v>
      </c>
      <c r="L44" s="336">
        <v>500</v>
      </c>
      <c r="M44" s="336">
        <v>500</v>
      </c>
      <c r="N44" s="336">
        <f t="shared" si="6"/>
        <v>6000</v>
      </c>
    </row>
    <row r="45" spans="1:14" s="337" customFormat="1" x14ac:dyDescent="0.25">
      <c r="A45" s="335" t="s">
        <v>271</v>
      </c>
      <c r="B45" s="336">
        <v>0</v>
      </c>
      <c r="C45" s="336">
        <v>350</v>
      </c>
      <c r="D45" s="336">
        <v>0</v>
      </c>
      <c r="E45" s="336">
        <v>350</v>
      </c>
      <c r="F45" s="336">
        <v>0</v>
      </c>
      <c r="G45" s="336">
        <v>350</v>
      </c>
      <c r="H45" s="336">
        <v>0</v>
      </c>
      <c r="I45" s="336">
        <v>350</v>
      </c>
      <c r="J45" s="336">
        <v>0</v>
      </c>
      <c r="K45" s="336">
        <v>350</v>
      </c>
      <c r="L45" s="336">
        <v>0</v>
      </c>
      <c r="M45" s="336">
        <v>0</v>
      </c>
      <c r="N45" s="336">
        <f t="shared" si="6"/>
        <v>1750</v>
      </c>
    </row>
    <row r="46" spans="1:14" s="337" customFormat="1" x14ac:dyDescent="0.25">
      <c r="A46" s="335" t="s">
        <v>272</v>
      </c>
      <c r="B46" s="336">
        <v>0</v>
      </c>
      <c r="C46" s="336">
        <v>4300</v>
      </c>
      <c r="D46" s="336">
        <v>5500</v>
      </c>
      <c r="E46" s="336">
        <v>3500</v>
      </c>
      <c r="F46" s="336">
        <v>2500</v>
      </c>
      <c r="G46" s="336">
        <v>4500</v>
      </c>
      <c r="H46" s="336">
        <v>1500</v>
      </c>
      <c r="I46" s="336">
        <v>3500</v>
      </c>
      <c r="J46" s="336">
        <v>4500</v>
      </c>
      <c r="K46" s="336">
        <v>4500</v>
      </c>
      <c r="L46" s="336">
        <v>1500</v>
      </c>
      <c r="M46" s="336">
        <v>500</v>
      </c>
      <c r="N46" s="336">
        <f t="shared" si="6"/>
        <v>36300</v>
      </c>
    </row>
    <row r="47" spans="1:14" s="337" customFormat="1" x14ac:dyDescent="0.25">
      <c r="A47" s="335" t="s">
        <v>273</v>
      </c>
      <c r="B47" s="336">
        <v>145</v>
      </c>
      <c r="C47" s="336">
        <v>0</v>
      </c>
      <c r="D47" s="336">
        <v>0</v>
      </c>
      <c r="E47" s="336">
        <v>145</v>
      </c>
      <c r="F47" s="336">
        <v>0</v>
      </c>
      <c r="G47" s="336">
        <v>0</v>
      </c>
      <c r="H47" s="336">
        <v>145</v>
      </c>
      <c r="I47" s="336">
        <v>0</v>
      </c>
      <c r="J47" s="336">
        <v>0</v>
      </c>
      <c r="K47" s="336">
        <v>145</v>
      </c>
      <c r="L47" s="336">
        <v>0</v>
      </c>
      <c r="M47" s="336">
        <v>0</v>
      </c>
      <c r="N47" s="336">
        <f t="shared" si="6"/>
        <v>580</v>
      </c>
    </row>
    <row r="48" spans="1:14" s="337" customFormat="1" x14ac:dyDescent="0.25">
      <c r="A48" s="335" t="s">
        <v>274</v>
      </c>
      <c r="B48" s="336">
        <v>1042</v>
      </c>
      <c r="C48" s="336">
        <v>3000</v>
      </c>
      <c r="D48" s="336">
        <v>1042</v>
      </c>
      <c r="E48" s="336">
        <v>1250</v>
      </c>
      <c r="F48" s="336">
        <v>1042</v>
      </c>
      <c r="G48" s="336">
        <v>1042</v>
      </c>
      <c r="H48" s="336">
        <v>1042</v>
      </c>
      <c r="I48" s="336">
        <v>1095</v>
      </c>
      <c r="J48" s="336">
        <v>1042</v>
      </c>
      <c r="K48" s="336">
        <v>1317</v>
      </c>
      <c r="L48" s="336">
        <v>1042</v>
      </c>
      <c r="M48" s="336">
        <v>1042</v>
      </c>
      <c r="N48" s="336">
        <f t="shared" si="6"/>
        <v>14998</v>
      </c>
    </row>
    <row r="49" spans="1:16" s="337" customFormat="1" x14ac:dyDescent="0.25">
      <c r="A49" s="335" t="s">
        <v>218</v>
      </c>
      <c r="B49" s="336">
        <v>575</v>
      </c>
      <c r="C49" s="336">
        <v>700</v>
      </c>
      <c r="D49" s="336">
        <v>775</v>
      </c>
      <c r="E49" s="336">
        <v>775</v>
      </c>
      <c r="F49" s="336">
        <v>805</v>
      </c>
      <c r="G49" s="336">
        <v>735</v>
      </c>
      <c r="H49" s="336">
        <v>890</v>
      </c>
      <c r="I49" s="336">
        <v>850</v>
      </c>
      <c r="J49" s="336">
        <v>810</v>
      </c>
      <c r="K49" s="336">
        <v>790</v>
      </c>
      <c r="L49" s="336">
        <v>500</v>
      </c>
      <c r="M49" s="336">
        <v>250</v>
      </c>
      <c r="N49" s="336">
        <f t="shared" si="6"/>
        <v>8455</v>
      </c>
    </row>
    <row r="50" spans="1:16" x14ac:dyDescent="0.25">
      <c r="A50" s="154" t="s">
        <v>219</v>
      </c>
      <c r="B50" s="155">
        <v>808.85</v>
      </c>
      <c r="C50" s="155">
        <v>808.85</v>
      </c>
      <c r="D50" s="155">
        <v>808.85</v>
      </c>
      <c r="E50" s="155">
        <v>808.85</v>
      </c>
      <c r="F50" s="155">
        <v>808.85</v>
      </c>
      <c r="G50" s="155">
        <v>808.85</v>
      </c>
      <c r="H50" s="155">
        <v>808.85</v>
      </c>
      <c r="I50" s="155">
        <v>808.85</v>
      </c>
      <c r="J50" s="155">
        <v>808.85</v>
      </c>
      <c r="K50" s="155">
        <v>808.85</v>
      </c>
      <c r="L50" s="155">
        <v>808.85</v>
      </c>
      <c r="M50" s="155">
        <v>808.85</v>
      </c>
      <c r="N50" s="155">
        <f t="shared" si="6"/>
        <v>9706.2000000000025</v>
      </c>
    </row>
    <row r="51" spans="1:16" x14ac:dyDescent="0.25">
      <c r="A51" s="154" t="s">
        <v>220</v>
      </c>
      <c r="B51" s="155">
        <v>2103.88</v>
      </c>
      <c r="C51" s="155">
        <v>2103.88</v>
      </c>
      <c r="D51" s="155">
        <v>2103.88</v>
      </c>
      <c r="E51" s="155">
        <v>2103.88</v>
      </c>
      <c r="F51" s="155">
        <v>2103.88</v>
      </c>
      <c r="G51" s="155">
        <v>2103.88</v>
      </c>
      <c r="H51" s="155">
        <v>2103.88</v>
      </c>
      <c r="I51" s="155">
        <v>2103.88</v>
      </c>
      <c r="J51" s="155">
        <v>2103.88</v>
      </c>
      <c r="K51" s="155">
        <v>2103.88</v>
      </c>
      <c r="L51" s="155">
        <v>2103.88</v>
      </c>
      <c r="M51" s="155">
        <v>2103.88</v>
      </c>
      <c r="N51" s="155">
        <f t="shared" si="6"/>
        <v>25246.560000000009</v>
      </c>
    </row>
    <row r="52" spans="1:16" x14ac:dyDescent="0.25">
      <c r="A52" s="154" t="s">
        <v>275</v>
      </c>
      <c r="B52" s="155">
        <v>18.89</v>
      </c>
      <c r="C52" s="155">
        <v>18.89</v>
      </c>
      <c r="D52" s="155">
        <v>18.89</v>
      </c>
      <c r="E52" s="155">
        <v>18.89</v>
      </c>
      <c r="F52" s="155">
        <v>18.89</v>
      </c>
      <c r="G52" s="155">
        <v>18.89</v>
      </c>
      <c r="H52" s="155">
        <v>18.89</v>
      </c>
      <c r="I52" s="155">
        <v>18.89</v>
      </c>
      <c r="J52" s="155">
        <v>18.89</v>
      </c>
      <c r="K52" s="155">
        <v>18.89</v>
      </c>
      <c r="L52" s="155">
        <v>18.89</v>
      </c>
      <c r="M52" s="155">
        <v>18.89</v>
      </c>
      <c r="N52" s="155">
        <f t="shared" si="6"/>
        <v>226.67999999999995</v>
      </c>
    </row>
    <row r="53" spans="1:16" x14ac:dyDescent="0.25">
      <c r="A53" s="154" t="s">
        <v>221</v>
      </c>
      <c r="B53" s="155">
        <v>1100.73</v>
      </c>
      <c r="C53" s="155">
        <v>1100.73</v>
      </c>
      <c r="D53" s="155">
        <v>1100.73</v>
      </c>
      <c r="E53" s="155">
        <v>1100.73</v>
      </c>
      <c r="F53" s="155">
        <v>1100.73</v>
      </c>
      <c r="G53" s="155">
        <v>1100.73</v>
      </c>
      <c r="H53" s="155">
        <v>1100.73</v>
      </c>
      <c r="I53" s="155">
        <v>1100.73</v>
      </c>
      <c r="J53" s="155">
        <v>1100.73</v>
      </c>
      <c r="K53" s="155">
        <v>1100.73</v>
      </c>
      <c r="L53" s="155">
        <v>1100.73</v>
      </c>
      <c r="M53" s="155">
        <v>1100.73</v>
      </c>
      <c r="N53" s="155">
        <f t="shared" si="6"/>
        <v>13208.759999999997</v>
      </c>
    </row>
    <row r="54" spans="1:16" x14ac:dyDescent="0.25">
      <c r="A54" s="156" t="s">
        <v>196</v>
      </c>
      <c r="B54" s="157">
        <f t="shared" ref="B54:N54" si="7">SUM(B23:B53)</f>
        <v>12374.349999999999</v>
      </c>
      <c r="C54" s="157">
        <f t="shared" si="7"/>
        <v>22607.35</v>
      </c>
      <c r="D54" s="157">
        <f t="shared" si="7"/>
        <v>23024.35</v>
      </c>
      <c r="E54" s="157">
        <f t="shared" si="7"/>
        <v>18757.349999999999</v>
      </c>
      <c r="F54" s="157">
        <f t="shared" si="7"/>
        <v>18204.349999999999</v>
      </c>
      <c r="G54" s="157">
        <f t="shared" si="7"/>
        <v>18604.349999999999</v>
      </c>
      <c r="H54" s="157">
        <f t="shared" si="7"/>
        <v>15134.349999999999</v>
      </c>
      <c r="I54" s="157">
        <f t="shared" si="7"/>
        <v>20622.349999999999</v>
      </c>
      <c r="J54" s="157">
        <f t="shared" si="7"/>
        <v>19479.349999999999</v>
      </c>
      <c r="K54" s="157">
        <f t="shared" si="7"/>
        <v>25859.35</v>
      </c>
      <c r="L54" s="157">
        <f t="shared" si="7"/>
        <v>13579.349999999999</v>
      </c>
      <c r="M54" s="157">
        <f t="shared" si="7"/>
        <v>12599.349999999999</v>
      </c>
      <c r="N54" s="157">
        <f t="shared" si="7"/>
        <v>220846.2</v>
      </c>
    </row>
    <row r="55" spans="1:16" x14ac:dyDescent="0.25">
      <c r="A55" s="153" t="s">
        <v>222</v>
      </c>
      <c r="B55" s="152"/>
      <c r="C55" s="152"/>
      <c r="D55" s="152"/>
      <c r="E55" s="152"/>
      <c r="F55" s="152"/>
      <c r="G55" s="152"/>
      <c r="H55" s="152"/>
      <c r="I55" s="152"/>
      <c r="J55" s="152"/>
      <c r="K55" s="152"/>
      <c r="L55" s="152"/>
      <c r="M55" s="152"/>
      <c r="N55" s="152"/>
    </row>
    <row r="56" spans="1:16" s="337" customFormat="1" x14ac:dyDescent="0.25">
      <c r="A56" s="335" t="s">
        <v>223</v>
      </c>
      <c r="B56" s="336">
        <v>6769.7176322957193</v>
      </c>
      <c r="C56" s="336">
        <v>7126.0185603112841</v>
      </c>
      <c r="D56" s="336">
        <v>7482.3194883268479</v>
      </c>
      <c r="E56" s="336">
        <v>7838.6204163424127</v>
      </c>
      <c r="F56" s="336">
        <v>8194.9213443579774</v>
      </c>
      <c r="G56" s="336">
        <v>7126.0185603112841</v>
      </c>
      <c r="H56" s="336">
        <v>8194.9213443579774</v>
      </c>
      <c r="I56" s="336">
        <v>7838.6204163424127</v>
      </c>
      <c r="J56" s="336">
        <v>7482.3194883268479</v>
      </c>
      <c r="K56" s="336">
        <v>8194.9213443579774</v>
      </c>
      <c r="L56" s="336">
        <v>7482.3194883268479</v>
      </c>
      <c r="M56" s="336">
        <v>9212.1604938424134</v>
      </c>
      <c r="N56" s="336">
        <f t="shared" ref="N56:N61" si="8">SUM(B56:M56)</f>
        <v>92942.8785775</v>
      </c>
    </row>
    <row r="57" spans="1:16" s="337" customFormat="1" x14ac:dyDescent="0.25">
      <c r="A57" s="335" t="s">
        <v>276</v>
      </c>
      <c r="B57" s="336">
        <v>600</v>
      </c>
      <c r="C57" s="336">
        <v>25000</v>
      </c>
      <c r="D57" s="336">
        <v>43000</v>
      </c>
      <c r="E57" s="336">
        <v>22000</v>
      </c>
      <c r="F57" s="336">
        <v>27000</v>
      </c>
      <c r="G57" s="336">
        <v>12000</v>
      </c>
      <c r="H57" s="336">
        <v>17000</v>
      </c>
      <c r="I57" s="336">
        <v>33000</v>
      </c>
      <c r="J57" s="336">
        <v>21000</v>
      </c>
      <c r="K57" s="336">
        <v>27000</v>
      </c>
      <c r="L57" s="336">
        <v>13000</v>
      </c>
      <c r="M57" s="336">
        <v>2000</v>
      </c>
      <c r="N57" s="336">
        <f t="shared" si="8"/>
        <v>242600</v>
      </c>
    </row>
    <row r="58" spans="1:16" x14ac:dyDescent="0.25">
      <c r="A58" s="154" t="s">
        <v>224</v>
      </c>
      <c r="B58" s="155">
        <v>1485.853632986958</v>
      </c>
      <c r="C58" s="155">
        <v>4436.4840873546927</v>
      </c>
      <c r="D58" s="155">
        <v>6632.7145417224274</v>
      </c>
      <c r="E58" s="155">
        <v>4231.819996090162</v>
      </c>
      <c r="F58" s="155">
        <v>4895.6754504578967</v>
      </c>
      <c r="G58" s="155">
        <v>2904.1090873546927</v>
      </c>
      <c r="H58" s="155">
        <v>3804.0504504578967</v>
      </c>
      <c r="I58" s="155">
        <v>5697.569996090162</v>
      </c>
      <c r="J58" s="155">
        <v>4147.0895417224274</v>
      </c>
      <c r="K58" s="155">
        <v>5034.0504504578967</v>
      </c>
      <c r="L58" s="155">
        <v>3163.0895417224274</v>
      </c>
      <c r="M58" s="155">
        <v>2124.9395096526619</v>
      </c>
      <c r="N58" s="155">
        <f t="shared" si="8"/>
        <v>48557.446286070299</v>
      </c>
    </row>
    <row r="59" spans="1:16" x14ac:dyDescent="0.25">
      <c r="A59" s="154" t="s">
        <v>225</v>
      </c>
      <c r="B59" s="155">
        <v>77.575312580035572</v>
      </c>
      <c r="C59" s="155">
        <v>318.94572376845849</v>
      </c>
      <c r="D59" s="155">
        <v>497.99613495688141</v>
      </c>
      <c r="E59" s="155">
        <v>297.28404614530433</v>
      </c>
      <c r="F59" s="155">
        <v>349.74695733372721</v>
      </c>
      <c r="G59" s="155">
        <v>192.35822376845852</v>
      </c>
      <c r="H59" s="155">
        <v>252.37195733372727</v>
      </c>
      <c r="I59" s="155">
        <v>404.39654614530434</v>
      </c>
      <c r="J59" s="155">
        <v>283.77113495688138</v>
      </c>
      <c r="K59" s="155">
        <v>349.74695733372721</v>
      </c>
      <c r="L59" s="155">
        <v>205.87113495688141</v>
      </c>
      <c r="M59" s="155">
        <v>102.53404614530434</v>
      </c>
      <c r="N59" s="155">
        <f t="shared" si="8"/>
        <v>3332.5981754246914</v>
      </c>
    </row>
    <row r="60" spans="1:16" x14ac:dyDescent="0.25">
      <c r="A60" s="154" t="s">
        <v>226</v>
      </c>
      <c r="B60" s="155">
        <v>710.26000374273735</v>
      </c>
      <c r="C60" s="155">
        <v>644.06505657130253</v>
      </c>
      <c r="D60" s="155">
        <v>676.26830939986769</v>
      </c>
      <c r="E60" s="155">
        <v>708.47156222843284</v>
      </c>
      <c r="F60" s="155">
        <v>740.674815056998</v>
      </c>
      <c r="G60" s="155">
        <v>644.06505657130253</v>
      </c>
      <c r="H60" s="155">
        <v>740.674815056998</v>
      </c>
      <c r="I60" s="155">
        <v>708.47156222843284</v>
      </c>
      <c r="J60" s="155">
        <v>676.26830939986769</v>
      </c>
      <c r="K60" s="155">
        <v>740.674815056998</v>
      </c>
      <c r="L60" s="155">
        <v>676.26830939986769</v>
      </c>
      <c r="M60" s="155">
        <v>708.47156222843284</v>
      </c>
      <c r="N60" s="155">
        <f t="shared" si="8"/>
        <v>8374.6341769412375</v>
      </c>
    </row>
    <row r="61" spans="1:16" x14ac:dyDescent="0.25">
      <c r="A61" s="154" t="s">
        <v>227</v>
      </c>
      <c r="B61" s="155">
        <v>348.77344080739294</v>
      </c>
      <c r="C61" s="155">
        <v>803.15046400778215</v>
      </c>
      <c r="D61" s="155">
        <v>1262.0579872081712</v>
      </c>
      <c r="E61" s="155">
        <v>745.96551040856025</v>
      </c>
      <c r="F61" s="155">
        <v>879.87303360894941</v>
      </c>
      <c r="G61" s="155">
        <v>478.15046400778209</v>
      </c>
      <c r="H61" s="155">
        <v>629.87303360894941</v>
      </c>
      <c r="I61" s="155">
        <v>1020.9655104085602</v>
      </c>
      <c r="J61" s="155">
        <v>712.0579872081712</v>
      </c>
      <c r="K61" s="155">
        <v>879.87303360894941</v>
      </c>
      <c r="L61" s="155">
        <v>512.0579872081712</v>
      </c>
      <c r="M61" s="155">
        <v>245.96551040856031</v>
      </c>
      <c r="N61" s="155">
        <f t="shared" si="8"/>
        <v>8518.7639624999993</v>
      </c>
    </row>
    <row r="62" spans="1:16" x14ac:dyDescent="0.25">
      <c r="A62" s="156" t="s">
        <v>228</v>
      </c>
      <c r="B62" s="157">
        <f t="shared" ref="B62:N62" si="9">SUM(B56:B61)</f>
        <v>9992.1800224128419</v>
      </c>
      <c r="C62" s="157">
        <f t="shared" si="9"/>
        <v>38328.663892013523</v>
      </c>
      <c r="D62" s="157">
        <f t="shared" si="9"/>
        <v>59551.356461614196</v>
      </c>
      <c r="E62" s="157">
        <f t="shared" si="9"/>
        <v>35822.161531214872</v>
      </c>
      <c r="F62" s="157">
        <f t="shared" si="9"/>
        <v>42060.891600815557</v>
      </c>
      <c r="G62" s="157">
        <f t="shared" si="9"/>
        <v>23344.701392013521</v>
      </c>
      <c r="H62" s="157">
        <f t="shared" si="9"/>
        <v>30621.89160081555</v>
      </c>
      <c r="I62" s="157">
        <f t="shared" si="9"/>
        <v>48670.024031214874</v>
      </c>
      <c r="J62" s="157">
        <f t="shared" si="9"/>
        <v>34301.506461614197</v>
      </c>
      <c r="K62" s="157">
        <f t="shared" si="9"/>
        <v>42199.266600815557</v>
      </c>
      <c r="L62" s="157">
        <f t="shared" si="9"/>
        <v>25039.606461614196</v>
      </c>
      <c r="M62" s="157">
        <f t="shared" si="9"/>
        <v>14394.071122277373</v>
      </c>
      <c r="N62" s="157">
        <f t="shared" si="9"/>
        <v>404326.32117843616</v>
      </c>
      <c r="P62" s="349">
        <f>N62/N16</f>
        <v>0.42485662986637218</v>
      </c>
    </row>
    <row r="63" spans="1:16" x14ac:dyDescent="0.25">
      <c r="A63" s="158" t="s">
        <v>197</v>
      </c>
      <c r="B63" s="157">
        <f t="shared" ref="B63:N63" si="10">SUM(B54,B62)</f>
        <v>22366.53002241284</v>
      </c>
      <c r="C63" s="157">
        <f t="shared" si="10"/>
        <v>60936.013892013521</v>
      </c>
      <c r="D63" s="157">
        <f t="shared" si="10"/>
        <v>82575.706461614202</v>
      </c>
      <c r="E63" s="157">
        <f t="shared" si="10"/>
        <v>54579.51153121487</v>
      </c>
      <c r="F63" s="157">
        <f t="shared" si="10"/>
        <v>60265.241600815556</v>
      </c>
      <c r="G63" s="157">
        <f t="shared" si="10"/>
        <v>41949.05139201352</v>
      </c>
      <c r="H63" s="157">
        <f t="shared" si="10"/>
        <v>45756.241600815549</v>
      </c>
      <c r="I63" s="157">
        <f t="shared" si="10"/>
        <v>69292.374031214873</v>
      </c>
      <c r="J63" s="157">
        <f t="shared" si="10"/>
        <v>53780.856461614196</v>
      </c>
      <c r="K63" s="157">
        <f t="shared" si="10"/>
        <v>68058.616600815556</v>
      </c>
      <c r="L63" s="157">
        <f t="shared" si="10"/>
        <v>38618.956461614194</v>
      </c>
      <c r="M63" s="157">
        <f t="shared" si="10"/>
        <v>26993.421122277374</v>
      </c>
      <c r="N63" s="157">
        <f t="shared" si="10"/>
        <v>625172.52117843623</v>
      </c>
    </row>
    <row r="64" spans="1:16" x14ac:dyDescent="0.25">
      <c r="A64" s="149" t="s">
        <v>198</v>
      </c>
      <c r="B64" s="150">
        <f t="shared" ref="B64:N64" si="11">B20-B63</f>
        <v>-21005.631783712841</v>
      </c>
      <c r="C64" s="150">
        <f t="shared" si="11"/>
        <v>-376.04226986351568</v>
      </c>
      <c r="D64" s="150">
        <f t="shared" si="11"/>
        <v>28461.218014135797</v>
      </c>
      <c r="E64" s="150">
        <f t="shared" si="11"/>
        <v>2640.0735050351359</v>
      </c>
      <c r="F64" s="150">
        <f t="shared" si="11"/>
        <v>10439.607800734448</v>
      </c>
      <c r="G64" s="150">
        <f t="shared" si="11"/>
        <v>-11638.136075513517</v>
      </c>
      <c r="H64" s="150">
        <f t="shared" si="11"/>
        <v>-2021.9209298655478</v>
      </c>
      <c r="I64" s="150">
        <f t="shared" si="11"/>
        <v>14835.880724785136</v>
      </c>
      <c r="J64" s="150">
        <f t="shared" si="11"/>
        <v>98.341988735810446</v>
      </c>
      <c r="K64" s="150">
        <f t="shared" si="11"/>
        <v>604.88544268444821</v>
      </c>
      <c r="L64" s="150">
        <f t="shared" si="11"/>
        <v>-6328.552797914188</v>
      </c>
      <c r="M64" s="150">
        <f t="shared" si="11"/>
        <v>-22292.136297677374</v>
      </c>
      <c r="N64" s="150">
        <f t="shared" si="11"/>
        <v>-6582.4126784363762</v>
      </c>
    </row>
    <row r="65" spans="1:14" x14ac:dyDescent="0.25">
      <c r="A65" s="151" t="s">
        <v>199</v>
      </c>
      <c r="B65" s="350"/>
      <c r="C65" s="350"/>
      <c r="D65" s="350"/>
      <c r="E65" s="350"/>
      <c r="F65" s="350"/>
      <c r="G65" s="350"/>
      <c r="H65" s="350"/>
      <c r="I65" s="350"/>
      <c r="J65" s="350"/>
      <c r="K65" s="350"/>
      <c r="L65" s="350"/>
      <c r="M65" s="350"/>
      <c r="N65" s="350"/>
    </row>
    <row r="66" spans="1:14" x14ac:dyDescent="0.25">
      <c r="A66" s="153" t="s">
        <v>202</v>
      </c>
      <c r="B66" s="351"/>
      <c r="C66" s="351"/>
      <c r="D66" s="351"/>
      <c r="E66" s="351"/>
      <c r="F66" s="351"/>
      <c r="G66" s="351"/>
      <c r="H66" s="351"/>
      <c r="I66" s="351"/>
      <c r="J66" s="351"/>
      <c r="K66" s="351"/>
      <c r="L66" s="351"/>
      <c r="M66" s="351"/>
      <c r="N66" s="351"/>
    </row>
    <row r="67" spans="1:14" s="337" customFormat="1" x14ac:dyDescent="0.25">
      <c r="A67" s="335" t="s">
        <v>277</v>
      </c>
      <c r="B67" s="336">
        <v>0</v>
      </c>
      <c r="C67" s="336">
        <v>0</v>
      </c>
      <c r="D67" s="336">
        <v>0</v>
      </c>
      <c r="E67" s="336">
        <v>0</v>
      </c>
      <c r="F67" s="336">
        <v>0</v>
      </c>
      <c r="G67" s="336">
        <v>0</v>
      </c>
      <c r="H67" s="336">
        <v>0</v>
      </c>
      <c r="I67" s="336">
        <v>0</v>
      </c>
      <c r="J67" s="336">
        <v>0</v>
      </c>
      <c r="K67" s="336">
        <v>0</v>
      </c>
      <c r="L67" s="336">
        <v>0</v>
      </c>
      <c r="M67" s="336">
        <v>0</v>
      </c>
      <c r="N67" s="336">
        <f>SUM(B67:M67)</f>
        <v>0</v>
      </c>
    </row>
    <row r="68" spans="1:14" s="337" customFormat="1" x14ac:dyDescent="0.25">
      <c r="A68" s="335" t="s">
        <v>230</v>
      </c>
      <c r="B68" s="336">
        <v>0</v>
      </c>
      <c r="C68" s="336">
        <v>350</v>
      </c>
      <c r="D68" s="336">
        <v>1500</v>
      </c>
      <c r="E68" s="336">
        <v>1500</v>
      </c>
      <c r="F68" s="336">
        <v>1000</v>
      </c>
      <c r="G68" s="336">
        <v>0</v>
      </c>
      <c r="H68" s="336">
        <v>0</v>
      </c>
      <c r="I68" s="336">
        <v>1000</v>
      </c>
      <c r="J68" s="336">
        <v>500</v>
      </c>
      <c r="K68" s="336">
        <v>0</v>
      </c>
      <c r="L68" s="336">
        <v>0</v>
      </c>
      <c r="M68" s="336">
        <v>0</v>
      </c>
      <c r="N68" s="336">
        <f t="shared" ref="N68:N70" si="12">SUM(B68:M68)</f>
        <v>5850</v>
      </c>
    </row>
    <row r="69" spans="1:14" s="337" customFormat="1" x14ac:dyDescent="0.25">
      <c r="A69" s="335" t="s">
        <v>278</v>
      </c>
      <c r="B69" s="336">
        <v>0</v>
      </c>
      <c r="C69" s="336">
        <v>772.19999999999993</v>
      </c>
      <c r="D69" s="336">
        <v>2316.6</v>
      </c>
      <c r="E69" s="336">
        <v>1663.2</v>
      </c>
      <c r="F69" s="336">
        <v>1960.2</v>
      </c>
      <c r="G69" s="336">
        <v>891</v>
      </c>
      <c r="H69" s="336">
        <v>772.19999999999993</v>
      </c>
      <c r="I69" s="336">
        <v>1544.3999999999999</v>
      </c>
      <c r="J69" s="336">
        <v>2376</v>
      </c>
      <c r="K69" s="336">
        <v>1603.8</v>
      </c>
      <c r="L69" s="336">
        <v>1188</v>
      </c>
      <c r="M69" s="336">
        <v>0</v>
      </c>
      <c r="N69" s="336">
        <f t="shared" si="12"/>
        <v>15087.599999999999</v>
      </c>
    </row>
    <row r="70" spans="1:14" s="337" customFormat="1" x14ac:dyDescent="0.25">
      <c r="A70" s="335" t="s">
        <v>279</v>
      </c>
      <c r="B70" s="336">
        <v>25.308335800000002</v>
      </c>
      <c r="C70" s="336">
        <v>1126.2209430999999</v>
      </c>
      <c r="D70" s="336">
        <v>2064.9301254999996</v>
      </c>
      <c r="E70" s="336">
        <v>1064.1004825</v>
      </c>
      <c r="F70" s="336">
        <v>1314.8830826999999</v>
      </c>
      <c r="G70" s="336">
        <v>563.68566099999998</v>
      </c>
      <c r="H70" s="336">
        <v>813.31788229999995</v>
      </c>
      <c r="I70" s="336">
        <v>1564.515304</v>
      </c>
      <c r="J70" s="336">
        <v>1001.9800219</v>
      </c>
      <c r="K70" s="336">
        <v>1276.9205789999999</v>
      </c>
      <c r="L70" s="336">
        <v>600.49778579999997</v>
      </c>
      <c r="M70" s="336">
        <v>87.428796399999996</v>
      </c>
      <c r="N70" s="336">
        <f t="shared" si="12"/>
        <v>11503.789000000001</v>
      </c>
    </row>
    <row r="71" spans="1:14" x14ac:dyDescent="0.25">
      <c r="A71" s="156" t="s">
        <v>203</v>
      </c>
      <c r="B71" s="157">
        <f t="shared" ref="B71:N71" si="13">SUM(B67:B70)</f>
        <v>25.308335800000002</v>
      </c>
      <c r="C71" s="157">
        <f t="shared" si="13"/>
        <v>2248.4209430999999</v>
      </c>
      <c r="D71" s="157">
        <f t="shared" si="13"/>
        <v>5881.5301254999995</v>
      </c>
      <c r="E71" s="157">
        <f t="shared" si="13"/>
        <v>4227.3004824999998</v>
      </c>
      <c r="F71" s="157">
        <f t="shared" si="13"/>
        <v>4275.0830827</v>
      </c>
      <c r="G71" s="157">
        <f t="shared" si="13"/>
        <v>1454.685661</v>
      </c>
      <c r="H71" s="157">
        <f t="shared" si="13"/>
        <v>1585.5178822999999</v>
      </c>
      <c r="I71" s="157">
        <f t="shared" si="13"/>
        <v>4108.9153040000001</v>
      </c>
      <c r="J71" s="157">
        <f t="shared" si="13"/>
        <v>3877.9800218999999</v>
      </c>
      <c r="K71" s="157">
        <f t="shared" si="13"/>
        <v>2880.7205789999998</v>
      </c>
      <c r="L71" s="157">
        <f t="shared" si="13"/>
        <v>1788.4977858</v>
      </c>
      <c r="M71" s="157">
        <f t="shared" si="13"/>
        <v>87.428796399999996</v>
      </c>
      <c r="N71" s="157">
        <f t="shared" si="13"/>
        <v>32441.388999999999</v>
      </c>
    </row>
    <row r="72" spans="1:14" x14ac:dyDescent="0.25">
      <c r="A72" s="153" t="s">
        <v>280</v>
      </c>
      <c r="B72" s="152"/>
      <c r="C72" s="152"/>
      <c r="D72" s="152"/>
      <c r="E72" s="152"/>
      <c r="F72" s="152"/>
      <c r="G72" s="152"/>
      <c r="H72" s="152"/>
      <c r="I72" s="152"/>
      <c r="J72" s="152"/>
      <c r="K72" s="152"/>
      <c r="L72" s="152"/>
      <c r="M72" s="152"/>
      <c r="N72" s="152"/>
    </row>
    <row r="73" spans="1:14" s="337" customFormat="1" x14ac:dyDescent="0.25">
      <c r="A73" s="335" t="s">
        <v>281</v>
      </c>
      <c r="B73" s="336">
        <v>0</v>
      </c>
      <c r="C73" s="336">
        <v>1000</v>
      </c>
      <c r="D73" s="336">
        <v>3600</v>
      </c>
      <c r="E73" s="336">
        <v>1800</v>
      </c>
      <c r="F73" s="336">
        <v>2700</v>
      </c>
      <c r="G73" s="336">
        <v>1200</v>
      </c>
      <c r="H73" s="336">
        <v>1500</v>
      </c>
      <c r="I73" s="336">
        <v>2200</v>
      </c>
      <c r="J73" s="336">
        <v>1700</v>
      </c>
      <c r="K73" s="336">
        <v>2450</v>
      </c>
      <c r="L73" s="336">
        <v>1300</v>
      </c>
      <c r="M73" s="336">
        <v>350</v>
      </c>
      <c r="N73" s="336">
        <f>SUM(B73:M73)</f>
        <v>19800</v>
      </c>
    </row>
    <row r="74" spans="1:14" x14ac:dyDescent="0.25">
      <c r="A74" s="156" t="s">
        <v>282</v>
      </c>
      <c r="B74" s="157">
        <f t="shared" ref="B74:N74" si="14">SUM(B73)</f>
        <v>0</v>
      </c>
      <c r="C74" s="157">
        <f t="shared" si="14"/>
        <v>1000</v>
      </c>
      <c r="D74" s="157">
        <f t="shared" si="14"/>
        <v>3600</v>
      </c>
      <c r="E74" s="157">
        <f t="shared" si="14"/>
        <v>1800</v>
      </c>
      <c r="F74" s="157">
        <f t="shared" si="14"/>
        <v>2700</v>
      </c>
      <c r="G74" s="157">
        <f t="shared" si="14"/>
        <v>1200</v>
      </c>
      <c r="H74" s="157">
        <f t="shared" si="14"/>
        <v>1500</v>
      </c>
      <c r="I74" s="157">
        <f t="shared" si="14"/>
        <v>2200</v>
      </c>
      <c r="J74" s="157">
        <f t="shared" si="14"/>
        <v>1700</v>
      </c>
      <c r="K74" s="157">
        <f t="shared" si="14"/>
        <v>2450</v>
      </c>
      <c r="L74" s="157">
        <f t="shared" si="14"/>
        <v>1300</v>
      </c>
      <c r="M74" s="157">
        <f t="shared" si="14"/>
        <v>350</v>
      </c>
      <c r="N74" s="157">
        <f t="shared" si="14"/>
        <v>19800</v>
      </c>
    </row>
    <row r="75" spans="1:14" x14ac:dyDescent="0.25">
      <c r="A75" s="153" t="s">
        <v>231</v>
      </c>
      <c r="B75" s="152"/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</row>
    <row r="76" spans="1:14" s="337" customFormat="1" x14ac:dyDescent="0.25">
      <c r="A76" s="335" t="s">
        <v>283</v>
      </c>
      <c r="B76" s="336">
        <v>0</v>
      </c>
      <c r="C76" s="336">
        <v>400</v>
      </c>
      <c r="D76" s="336">
        <v>3500</v>
      </c>
      <c r="E76" s="336">
        <v>2000</v>
      </c>
      <c r="F76" s="336">
        <v>2200</v>
      </c>
      <c r="G76" s="336">
        <v>400</v>
      </c>
      <c r="H76" s="336">
        <v>600</v>
      </c>
      <c r="I76" s="336">
        <v>1700</v>
      </c>
      <c r="J76" s="336">
        <v>1200</v>
      </c>
      <c r="K76" s="336">
        <v>1600</v>
      </c>
      <c r="L76" s="336">
        <v>1900</v>
      </c>
      <c r="M76" s="336">
        <v>500</v>
      </c>
      <c r="N76" s="336">
        <f>SUM(B76:M76)</f>
        <v>16000</v>
      </c>
    </row>
    <row r="77" spans="1:14" s="337" customFormat="1" x14ac:dyDescent="0.25">
      <c r="A77" s="335" t="s">
        <v>284</v>
      </c>
      <c r="B77" s="336">
        <v>0</v>
      </c>
      <c r="C77" s="336">
        <v>100</v>
      </c>
      <c r="D77" s="336">
        <v>300</v>
      </c>
      <c r="E77" s="336">
        <v>250</v>
      </c>
      <c r="F77" s="336">
        <v>400</v>
      </c>
      <c r="G77" s="336">
        <v>80</v>
      </c>
      <c r="H77" s="336">
        <v>100</v>
      </c>
      <c r="I77" s="336">
        <v>250</v>
      </c>
      <c r="J77" s="336">
        <v>300</v>
      </c>
      <c r="K77" s="336">
        <v>300</v>
      </c>
      <c r="L77" s="336">
        <v>100</v>
      </c>
      <c r="M77" s="336">
        <v>0</v>
      </c>
      <c r="N77" s="336">
        <f>SUM(B77:M77)</f>
        <v>2180</v>
      </c>
    </row>
    <row r="78" spans="1:14" x14ac:dyDescent="0.25">
      <c r="A78" s="156" t="s">
        <v>233</v>
      </c>
      <c r="B78" s="157">
        <f t="shared" ref="B78:N78" si="15">SUM(B76:B77)</f>
        <v>0</v>
      </c>
      <c r="C78" s="157">
        <f t="shared" si="15"/>
        <v>500</v>
      </c>
      <c r="D78" s="157">
        <f t="shared" si="15"/>
        <v>3800</v>
      </c>
      <c r="E78" s="157">
        <f t="shared" si="15"/>
        <v>2250</v>
      </c>
      <c r="F78" s="157">
        <f t="shared" si="15"/>
        <v>2600</v>
      </c>
      <c r="G78" s="157">
        <f t="shared" si="15"/>
        <v>480</v>
      </c>
      <c r="H78" s="157">
        <f t="shared" si="15"/>
        <v>700</v>
      </c>
      <c r="I78" s="157">
        <f t="shared" si="15"/>
        <v>1950</v>
      </c>
      <c r="J78" s="157">
        <f t="shared" si="15"/>
        <v>1500</v>
      </c>
      <c r="K78" s="157">
        <f t="shared" si="15"/>
        <v>1900</v>
      </c>
      <c r="L78" s="157">
        <f t="shared" si="15"/>
        <v>2000</v>
      </c>
      <c r="M78" s="157">
        <f t="shared" si="15"/>
        <v>500</v>
      </c>
      <c r="N78" s="157">
        <f t="shared" si="15"/>
        <v>18180</v>
      </c>
    </row>
    <row r="79" spans="1:14" x14ac:dyDescent="0.25">
      <c r="A79" s="158" t="s">
        <v>206</v>
      </c>
      <c r="B79" s="157">
        <f t="shared" ref="B79:N79" si="16">SUM(B71,B74,B78)</f>
        <v>25.308335800000002</v>
      </c>
      <c r="C79" s="157">
        <f t="shared" si="16"/>
        <v>3748.4209430999999</v>
      </c>
      <c r="D79" s="157">
        <f t="shared" si="16"/>
        <v>13281.530125499999</v>
      </c>
      <c r="E79" s="157">
        <f t="shared" si="16"/>
        <v>8277.3004824999989</v>
      </c>
      <c r="F79" s="157">
        <f t="shared" si="16"/>
        <v>9575.0830826999991</v>
      </c>
      <c r="G79" s="157">
        <f t="shared" si="16"/>
        <v>3134.685661</v>
      </c>
      <c r="H79" s="157">
        <f t="shared" si="16"/>
        <v>3785.5178822999997</v>
      </c>
      <c r="I79" s="157">
        <f t="shared" si="16"/>
        <v>8258.9153040000001</v>
      </c>
      <c r="J79" s="157">
        <f t="shared" si="16"/>
        <v>7077.9800218999999</v>
      </c>
      <c r="K79" s="157">
        <f t="shared" si="16"/>
        <v>7230.7205789999998</v>
      </c>
      <c r="L79" s="157">
        <f t="shared" si="16"/>
        <v>5088.4977858000002</v>
      </c>
      <c r="M79" s="157">
        <f t="shared" si="16"/>
        <v>937.42879640000001</v>
      </c>
      <c r="N79" s="157">
        <f t="shared" si="16"/>
        <v>70421.388999999996</v>
      </c>
    </row>
    <row r="80" spans="1:14" x14ac:dyDescent="0.25">
      <c r="A80" s="149" t="s">
        <v>31</v>
      </c>
      <c r="B80" s="150">
        <f t="shared" ref="B80:L80" si="17">B64+B79+0</f>
        <v>-20980.32344791284</v>
      </c>
      <c r="C80" s="150">
        <f t="shared" si="17"/>
        <v>3372.3786732364842</v>
      </c>
      <c r="D80" s="150">
        <f t="shared" si="17"/>
        <v>41742.748139635798</v>
      </c>
      <c r="E80" s="150">
        <f t="shared" si="17"/>
        <v>10917.373987535135</v>
      </c>
      <c r="F80" s="150">
        <f t="shared" si="17"/>
        <v>20014.690883434447</v>
      </c>
      <c r="G80" s="150">
        <f t="shared" si="17"/>
        <v>-8503.4504145135179</v>
      </c>
      <c r="H80" s="150">
        <f t="shared" si="17"/>
        <v>1763.5969524344519</v>
      </c>
      <c r="I80" s="150">
        <f t="shared" si="17"/>
        <v>23094.796028785138</v>
      </c>
      <c r="J80" s="150">
        <f t="shared" si="17"/>
        <v>7176.3220106358103</v>
      </c>
      <c r="K80" s="150">
        <f t="shared" si="17"/>
        <v>7835.606021684448</v>
      </c>
      <c r="L80" s="150">
        <f t="shared" si="17"/>
        <v>-1240.0550121141878</v>
      </c>
      <c r="M80" s="150">
        <f>M64+M79+0</f>
        <v>-21354.707501277375</v>
      </c>
      <c r="N80" s="150">
        <f>N64+N79+0</f>
        <v>63838.976321563619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B94B4-18B6-E946-9F00-1A3318FE9630}">
  <sheetPr codeName="Sheet7"/>
  <dimension ref="A1:T41"/>
  <sheetViews>
    <sheetView topLeftCell="C1" zoomScaleNormal="100" workbookViewId="0">
      <selection activeCell="G15" activeCellId="3" sqref="G3:G8 G11 G12 G15"/>
    </sheetView>
  </sheetViews>
  <sheetFormatPr defaultRowHeight="15.75" x14ac:dyDescent="0.25"/>
  <cols>
    <col min="1" max="1" width="7.625" hidden="1" customWidth="1"/>
    <col min="2" max="2" width="13.875" hidden="1" customWidth="1"/>
    <col min="3" max="3" width="33" bestFit="1" customWidth="1"/>
    <col min="4" max="4" width="5.625" hidden="1" customWidth="1"/>
    <col min="5" max="6" width="12.875" hidden="1" customWidth="1"/>
    <col min="7" max="8" width="12.875" customWidth="1"/>
    <col min="9" max="9" width="13.375" style="222" customWidth="1"/>
    <col min="10" max="10" width="13.375" style="262" customWidth="1"/>
    <col min="11" max="11" width="13.375" style="222" customWidth="1"/>
    <col min="12" max="12" width="13.375" style="262" customWidth="1"/>
    <col min="13" max="13" width="13.375" style="222" customWidth="1"/>
    <col min="14" max="19" width="13.375" style="222" hidden="1" customWidth="1"/>
    <col min="20" max="20" width="21" bestFit="1" customWidth="1"/>
  </cols>
  <sheetData>
    <row r="1" spans="1:20" x14ac:dyDescent="0.25">
      <c r="C1" t="s">
        <v>285</v>
      </c>
      <c r="G1" s="221"/>
      <c r="H1" s="262"/>
    </row>
    <row r="2" spans="1:20" s="159" customFormat="1" ht="45" x14ac:dyDescent="0.25">
      <c r="C2" s="263"/>
      <c r="D2" s="263" t="s">
        <v>286</v>
      </c>
      <c r="E2" s="352" t="s">
        <v>287</v>
      </c>
      <c r="F2" s="352" t="s">
        <v>288</v>
      </c>
      <c r="G2" s="353" t="s">
        <v>289</v>
      </c>
      <c r="H2" s="264" t="s">
        <v>290</v>
      </c>
      <c r="I2" s="223" t="s">
        <v>291</v>
      </c>
      <c r="J2" s="264" t="s">
        <v>292</v>
      </c>
      <c r="K2" s="223" t="s">
        <v>293</v>
      </c>
      <c r="L2" s="264" t="s">
        <v>294</v>
      </c>
      <c r="M2" s="223" t="s">
        <v>295</v>
      </c>
      <c r="N2" s="224" t="s">
        <v>296</v>
      </c>
      <c r="O2" s="223" t="s">
        <v>297</v>
      </c>
      <c r="P2" s="224" t="s">
        <v>298</v>
      </c>
      <c r="Q2" s="223" t="s">
        <v>299</v>
      </c>
      <c r="R2" s="224" t="s">
        <v>300</v>
      </c>
      <c r="S2" s="223" t="s">
        <v>301</v>
      </c>
      <c r="T2" s="354" t="s">
        <v>302</v>
      </c>
    </row>
    <row r="3" spans="1:20" s="159" customFormat="1" x14ac:dyDescent="0.25">
      <c r="A3" s="156" t="s">
        <v>253</v>
      </c>
      <c r="B3" s="205" t="s">
        <v>31</v>
      </c>
      <c r="C3" s="225" t="s">
        <v>303</v>
      </c>
      <c r="D3" s="265">
        <f t="shared" ref="D3:D8" si="0">E3/$E$18</f>
        <v>0</v>
      </c>
      <c r="E3" s="226">
        <f>VLOOKUP(A3,'[2]BUSINESS SCHOOL'!1:1048576,14,FALSE)</f>
        <v>0</v>
      </c>
      <c r="F3" s="266">
        <f>G3+('[2]Catering Admin Allocation'!I8)</f>
        <v>22169.128337513539</v>
      </c>
      <c r="G3" s="355">
        <f>VLOOKUP(B3,'[2]BUSINESS SCHOOL'!1:1048576,14,FALSE)</f>
        <v>22169.128337513539</v>
      </c>
      <c r="H3" s="267">
        <v>25266.16</v>
      </c>
      <c r="I3" s="268">
        <v>58854.73</v>
      </c>
      <c r="J3" s="267">
        <v>-15464.85</v>
      </c>
      <c r="K3" s="268">
        <v>-5017.4817612500046</v>
      </c>
      <c r="L3" s="267">
        <v>-26825.82</v>
      </c>
      <c r="M3" s="268">
        <v>1407.3367571999843</v>
      </c>
      <c r="N3" s="269">
        <v>-1366.67</v>
      </c>
      <c r="O3" s="268"/>
      <c r="P3" s="228">
        <v>-26664.37</v>
      </c>
      <c r="Q3" s="227">
        <v>0</v>
      </c>
      <c r="R3" s="228">
        <v>-2955.04</v>
      </c>
      <c r="S3" s="227">
        <v>0</v>
      </c>
    </row>
    <row r="4" spans="1:20" x14ac:dyDescent="0.25">
      <c r="A4" s="156" t="s">
        <v>253</v>
      </c>
      <c r="B4" s="205" t="s">
        <v>31</v>
      </c>
      <c r="C4" s="229" t="s">
        <v>304</v>
      </c>
      <c r="D4" s="265">
        <f t="shared" si="0"/>
        <v>0</v>
      </c>
      <c r="E4" s="270">
        <f>VLOOKUP(A4,[2]CATALYST!1:1048576,14,FALSE)</f>
        <v>0</v>
      </c>
      <c r="F4" s="271">
        <f>G4+('[2]Catering Admin Allocation'!I9)</f>
        <v>99333.504491181404</v>
      </c>
      <c r="G4" s="355">
        <f>VLOOKUP(B4,[2]CATALYST!1:1048576,14,FALSE)</f>
        <v>99333.504491181404</v>
      </c>
      <c r="H4" s="272">
        <v>180445.75</v>
      </c>
      <c r="I4" s="273">
        <v>150380.82</v>
      </c>
      <c r="J4" s="272">
        <v>78129.58</v>
      </c>
      <c r="K4" s="273">
        <v>90730.065763749997</v>
      </c>
      <c r="L4" s="272">
        <v>56084.4</v>
      </c>
      <c r="M4" s="273">
        <v>115115.8783175</v>
      </c>
      <c r="N4" s="274">
        <v>85337.36</v>
      </c>
      <c r="O4" s="273">
        <v>102852.00670425</v>
      </c>
      <c r="P4" s="231">
        <v>174330.48</v>
      </c>
      <c r="Q4" s="230">
        <v>95417.984300701239</v>
      </c>
      <c r="R4" s="231">
        <v>135051.54</v>
      </c>
      <c r="S4" s="230">
        <v>81899.710000000006</v>
      </c>
    </row>
    <row r="5" spans="1:20" x14ac:dyDescent="0.25">
      <c r="A5" s="156" t="s">
        <v>253</v>
      </c>
      <c r="B5" s="205" t="s">
        <v>31</v>
      </c>
      <c r="C5" s="229" t="s">
        <v>305</v>
      </c>
      <c r="D5" s="265">
        <f t="shared" si="0"/>
        <v>0</v>
      </c>
      <c r="E5" s="270">
        <f>VLOOKUP(A5,[2]DENTISTRY!1:1048576,14,FALSE)</f>
        <v>0</v>
      </c>
      <c r="F5" s="271">
        <f>G5+('[2]Catering Admin Allocation'!I10)</f>
        <v>38394.799342080922</v>
      </c>
      <c r="G5" s="355">
        <f>VLOOKUP(B5,[2]DENTISTRY!1:1048576,14,FALSE)</f>
        <v>38394.799342080922</v>
      </c>
      <c r="H5" s="272">
        <v>45708.23</v>
      </c>
      <c r="I5" s="273">
        <v>43717.69</v>
      </c>
      <c r="J5" s="272">
        <v>21416.89</v>
      </c>
      <c r="K5" s="273">
        <v>21920.636165000004</v>
      </c>
      <c r="L5" s="272">
        <v>15753.32</v>
      </c>
      <c r="M5" s="273">
        <v>30881.998317677018</v>
      </c>
      <c r="N5" s="274">
        <v>38941.11</v>
      </c>
      <c r="O5" s="273">
        <v>23033.416764875001</v>
      </c>
      <c r="P5" s="231">
        <v>56350.63</v>
      </c>
      <c r="Q5" s="230">
        <v>22902.863169184522</v>
      </c>
      <c r="R5" s="231">
        <v>32369.62</v>
      </c>
      <c r="S5" s="230">
        <v>28795.86</v>
      </c>
    </row>
    <row r="6" spans="1:20" x14ac:dyDescent="0.25">
      <c r="A6" s="156" t="s">
        <v>253</v>
      </c>
      <c r="B6" s="205" t="s">
        <v>31</v>
      </c>
      <c r="C6" s="229" t="s">
        <v>306</v>
      </c>
      <c r="D6" s="265">
        <f t="shared" si="0"/>
        <v>5.9422467934621796E-2</v>
      </c>
      <c r="E6" s="270">
        <f>VLOOKUP(A6,[2]NEDLANDS!1:1048576,14,FALSE)</f>
        <v>66070</v>
      </c>
      <c r="F6" s="266">
        <f>G6+('[2]Catering Admin Allocation'!I11)</f>
        <v>-128504.57995171458</v>
      </c>
      <c r="G6" s="355">
        <f>VLOOKUP(B6,[2]NEDLANDS!1:1048576,14,FALSE)</f>
        <v>212.22687500000029</v>
      </c>
      <c r="H6" s="272">
        <v>4963.05</v>
      </c>
      <c r="I6" s="273">
        <v>797.02</v>
      </c>
      <c r="J6" s="272">
        <v>1014.47</v>
      </c>
      <c r="K6" s="273">
        <v>67.387499999998909</v>
      </c>
      <c r="L6" s="272">
        <v>1620.86</v>
      </c>
      <c r="M6" s="273">
        <v>733.34485000000313</v>
      </c>
      <c r="N6" s="274">
        <v>-5354.52</v>
      </c>
      <c r="O6" s="273"/>
      <c r="P6" s="231">
        <v>-14099.64</v>
      </c>
      <c r="Q6" s="230"/>
      <c r="R6" s="231">
        <v>-22573.34</v>
      </c>
      <c r="S6" s="230"/>
    </row>
    <row r="7" spans="1:20" x14ac:dyDescent="0.25">
      <c r="A7" s="156" t="s">
        <v>253</v>
      </c>
      <c r="B7" s="205" t="s">
        <v>31</v>
      </c>
      <c r="C7" s="229" t="s">
        <v>307</v>
      </c>
      <c r="D7" s="265">
        <f t="shared" si="0"/>
        <v>0</v>
      </c>
      <c r="E7" s="270">
        <f>VLOOKUP(A7,[2]HACKETT!1:1048576,14,FALSE)</f>
        <v>0</v>
      </c>
      <c r="F7" s="266">
        <f>G7+('[2]Catering Admin Allocation'!I12)</f>
        <v>22000.896721218189</v>
      </c>
      <c r="G7" s="355">
        <f>VLOOKUP(B7,[2]HACKETT!1:1048576,14,FALSE)</f>
        <v>22000.896721218189</v>
      </c>
      <c r="H7" s="272">
        <v>39282.949999999997</v>
      </c>
      <c r="I7" s="273">
        <v>67603.31</v>
      </c>
      <c r="J7" s="272">
        <v>-37241.35</v>
      </c>
      <c r="K7" s="273">
        <v>-5640.9352337500313</v>
      </c>
      <c r="L7" s="272">
        <v>-5904.85</v>
      </c>
      <c r="M7" s="273">
        <v>13372.71372900001</v>
      </c>
      <c r="N7" s="274">
        <v>12249.52</v>
      </c>
      <c r="O7" s="273">
        <v>-19211.387492546113</v>
      </c>
      <c r="P7" s="231">
        <v>12097.76</v>
      </c>
      <c r="Q7" s="230">
        <v>10485.447519311274</v>
      </c>
      <c r="R7" s="231">
        <v>-13446.75</v>
      </c>
      <c r="S7" s="230">
        <v>-4683.49</v>
      </c>
    </row>
    <row r="8" spans="1:20" x14ac:dyDescent="0.25">
      <c r="A8" s="156" t="s">
        <v>253</v>
      </c>
      <c r="B8" s="205" t="s">
        <v>31</v>
      </c>
      <c r="C8" s="229" t="s">
        <v>308</v>
      </c>
      <c r="D8" s="265">
        <f t="shared" si="0"/>
        <v>0</v>
      </c>
      <c r="E8" s="270">
        <f>VLOOKUP(A8,[2]QUOBBA!1:1048576,14,FALSE)</f>
        <v>0</v>
      </c>
      <c r="F8" s="271">
        <f>G8+('[2]Catering Admin Allocation'!I13)</f>
        <v>418048.50542687217</v>
      </c>
      <c r="G8" s="355">
        <f>VLOOKUP(B8,[2]QUOBBA!1:1048576,14,FALSE)</f>
        <v>418048.50542687217</v>
      </c>
      <c r="H8" s="272">
        <v>157062.14000000001</v>
      </c>
      <c r="I8" s="273">
        <v>178141.88</v>
      </c>
      <c r="J8" s="272">
        <v>338433.84</v>
      </c>
      <c r="K8" s="273">
        <v>340083.43430000008</v>
      </c>
      <c r="L8" s="272">
        <v>242661.34</v>
      </c>
      <c r="M8" s="273">
        <v>302625.95836238912</v>
      </c>
      <c r="N8" s="274">
        <v>275002.26</v>
      </c>
      <c r="O8" s="273">
        <v>316672.69795400009</v>
      </c>
      <c r="P8" s="231">
        <v>386534.99</v>
      </c>
      <c r="Q8" s="230">
        <v>355265.56766216876</v>
      </c>
      <c r="R8" s="231">
        <v>429332.17</v>
      </c>
      <c r="S8" s="230">
        <v>282827.71000000002</v>
      </c>
    </row>
    <row r="9" spans="1:20" hidden="1" x14ac:dyDescent="0.25">
      <c r="A9" s="156" t="s">
        <v>253</v>
      </c>
      <c r="D9" s="78"/>
      <c r="E9" s="232"/>
      <c r="F9" s="275"/>
      <c r="G9" s="356"/>
      <c r="H9" s="276">
        <v>0</v>
      </c>
      <c r="I9" s="277"/>
      <c r="J9" s="276"/>
      <c r="K9" s="277"/>
      <c r="L9" s="276">
        <f t="shared" ref="L9:S9" si="1">SUM(L3:L8)</f>
        <v>283389.25</v>
      </c>
      <c r="M9" s="277">
        <f t="shared" si="1"/>
        <v>464137.23033376614</v>
      </c>
      <c r="N9" s="278">
        <f t="shared" si="1"/>
        <v>404809.06</v>
      </c>
      <c r="O9" s="277">
        <f t="shared" si="1"/>
        <v>423346.73393057898</v>
      </c>
      <c r="P9" s="234">
        <f t="shared" si="1"/>
        <v>588549.85000000009</v>
      </c>
      <c r="Q9" s="233">
        <f t="shared" si="1"/>
        <v>484071.86265136581</v>
      </c>
      <c r="R9" s="234">
        <f t="shared" si="1"/>
        <v>557778.19999999995</v>
      </c>
      <c r="S9" s="233">
        <f t="shared" si="1"/>
        <v>388839.79000000004</v>
      </c>
    </row>
    <row r="10" spans="1:20" x14ac:dyDescent="0.25">
      <c r="A10" s="156" t="s">
        <v>253</v>
      </c>
      <c r="B10" s="205" t="s">
        <v>31</v>
      </c>
      <c r="C10" s="235" t="s">
        <v>47</v>
      </c>
      <c r="D10" s="279"/>
      <c r="E10" s="270">
        <v>0</v>
      </c>
      <c r="F10" s="271"/>
      <c r="G10" s="355">
        <f>VLOOKUP(B10,'[2] CATERING ADMIN'!1:1048576,14,FALSE)</f>
        <v>-354390.15128527262</v>
      </c>
      <c r="H10" s="280">
        <v>-306326.28000000003</v>
      </c>
      <c r="I10" s="281">
        <v>-300651.63</v>
      </c>
      <c r="J10" s="280">
        <v>-255487.98</v>
      </c>
      <c r="K10" s="281">
        <v>-308089.29730910208</v>
      </c>
      <c r="L10" s="280">
        <v>-190860.67</v>
      </c>
      <c r="M10" s="281">
        <v>-290871.04701766762</v>
      </c>
      <c r="N10" s="282">
        <v>-253229.13</v>
      </c>
      <c r="O10" s="281">
        <v>-290284.93291727116</v>
      </c>
      <c r="P10" s="237">
        <v>-219115.12</v>
      </c>
      <c r="Q10" s="236">
        <v>-276843.74</v>
      </c>
      <c r="R10" s="237">
        <v>-368194.22</v>
      </c>
      <c r="S10" s="236">
        <v>-302457.43</v>
      </c>
    </row>
    <row r="11" spans="1:20" x14ac:dyDescent="0.25">
      <c r="A11" s="156" t="s">
        <v>253</v>
      </c>
      <c r="B11" s="205" t="s">
        <v>31</v>
      </c>
      <c r="C11" s="229" t="s">
        <v>309</v>
      </c>
      <c r="D11" s="265">
        <f>E11/$E$18</f>
        <v>0.33807849665742995</v>
      </c>
      <c r="E11" s="270">
        <f>VLOOKUP(A11,[2]FUNCTIONS!1:1048576,14,FALSE)</f>
        <v>375899</v>
      </c>
      <c r="F11" s="271">
        <f>G11+('[2]Catering Admin Allocation'!I17)</f>
        <v>32450.036114341747</v>
      </c>
      <c r="G11" s="355">
        <f>VLOOKUP(B11,[2]FUNCTIONS!1:1048576,14,FALSE)</f>
        <v>71316.694065085874</v>
      </c>
      <c r="H11" s="272">
        <v>100367.26999999999</v>
      </c>
      <c r="I11" s="273">
        <v>59491.6</v>
      </c>
      <c r="J11" s="272">
        <v>49833.93</v>
      </c>
      <c r="K11" s="273">
        <v>54773.103069412638</v>
      </c>
      <c r="L11" s="272">
        <v>44879.040000000001</v>
      </c>
      <c r="M11" s="273">
        <v>42915.626990305696</v>
      </c>
      <c r="N11" s="274">
        <v>-14404.23</v>
      </c>
      <c r="O11" s="273">
        <v>75019.155999999988</v>
      </c>
      <c r="P11" s="231">
        <v>18129.48</v>
      </c>
      <c r="Q11" s="230">
        <v>70837.972034129256</v>
      </c>
      <c r="R11" s="231">
        <v>89883</v>
      </c>
      <c r="S11" s="230">
        <v>70507.61</v>
      </c>
    </row>
    <row r="12" spans="1:20" x14ac:dyDescent="0.25">
      <c r="A12" s="156" t="s">
        <v>253</v>
      </c>
      <c r="B12" s="205" t="s">
        <v>31</v>
      </c>
      <c r="C12" s="229" t="s">
        <v>310</v>
      </c>
      <c r="D12" s="283"/>
      <c r="E12" s="270">
        <v>0</v>
      </c>
      <c r="F12" s="271">
        <f>G12</f>
        <v>-176744.11637703585</v>
      </c>
      <c r="G12" s="357">
        <f>VLOOKUP(B12,[2]KITCHEN!1:1048576,14,FALSE)</f>
        <v>-176744.11637703585</v>
      </c>
      <c r="H12" s="272">
        <v>-202943.40000000002</v>
      </c>
      <c r="I12" s="273">
        <v>-184146.45811739244</v>
      </c>
      <c r="J12" s="272">
        <v>-158347.45000000001</v>
      </c>
      <c r="K12" s="273">
        <v>-171547.20782018144</v>
      </c>
      <c r="L12" s="272">
        <v>-124183.47</v>
      </c>
      <c r="M12" s="273">
        <v>-185012.35223471298</v>
      </c>
      <c r="N12" s="274">
        <v>-172330.73</v>
      </c>
      <c r="O12" s="273">
        <v>-185090.44469839722</v>
      </c>
      <c r="P12" s="231">
        <v>-143684.18</v>
      </c>
      <c r="Q12" s="230">
        <v>-184891.49689410464</v>
      </c>
      <c r="R12" s="231">
        <v>-199347.24</v>
      </c>
      <c r="S12" s="230">
        <v>-202482.82</v>
      </c>
    </row>
    <row r="13" spans="1:20" x14ac:dyDescent="0.25">
      <c r="A13" s="156" t="s">
        <v>253</v>
      </c>
      <c r="B13" s="205" t="s">
        <v>31</v>
      </c>
      <c r="C13" s="238" t="s">
        <v>311</v>
      </c>
      <c r="D13" s="284"/>
      <c r="E13" s="239">
        <f>SUM(E3:E10)</f>
        <v>66070</v>
      </c>
      <c r="F13" s="285">
        <f>SUM(F3:F12)</f>
        <v>327148.17410445755</v>
      </c>
      <c r="G13" s="358">
        <f>SUM(G3:G12)</f>
        <v>140341.48759664362</v>
      </c>
      <c r="H13" s="286">
        <f>SUM(H3:H12)</f>
        <v>43825.869999999966</v>
      </c>
      <c r="I13" s="287">
        <f>SUM(I3:I9,I10)</f>
        <v>198843.82</v>
      </c>
      <c r="J13" s="286">
        <f>SUM(J3:J12)</f>
        <v>22287.079999999987</v>
      </c>
      <c r="K13" s="287">
        <f>SUM(K3:K12)</f>
        <v>17279.70467387914</v>
      </c>
      <c r="L13" s="286">
        <f t="shared" ref="L13:S13" si="2">SUM(L9,L10)</f>
        <v>92528.579999999987</v>
      </c>
      <c r="M13" s="287">
        <f t="shared" si="2"/>
        <v>173266.18331609853</v>
      </c>
      <c r="N13" s="288">
        <f t="shared" si="2"/>
        <v>151579.93</v>
      </c>
      <c r="O13" s="287">
        <f t="shared" si="2"/>
        <v>133061.80101330782</v>
      </c>
      <c r="P13" s="241">
        <f t="shared" si="2"/>
        <v>369434.7300000001</v>
      </c>
      <c r="Q13" s="240">
        <f t="shared" si="2"/>
        <v>207228.12265136582</v>
      </c>
      <c r="R13" s="241">
        <f t="shared" si="2"/>
        <v>189583.97999999998</v>
      </c>
      <c r="S13" s="240">
        <f t="shared" si="2"/>
        <v>86382.360000000044</v>
      </c>
    </row>
    <row r="14" spans="1:20" x14ac:dyDescent="0.25">
      <c r="A14" s="156"/>
      <c r="B14" s="205"/>
      <c r="C14" s="238"/>
      <c r="D14" s="284"/>
      <c r="E14" s="239"/>
      <c r="F14" s="285"/>
      <c r="G14" s="358"/>
      <c r="H14" s="286"/>
      <c r="I14" s="287"/>
      <c r="J14" s="286"/>
      <c r="K14" s="287"/>
      <c r="L14" s="286"/>
      <c r="M14" s="287"/>
      <c r="N14" s="288"/>
      <c r="O14" s="287"/>
      <c r="P14" s="241"/>
      <c r="Q14" s="240"/>
      <c r="R14" s="241"/>
      <c r="S14" s="240"/>
    </row>
    <row r="15" spans="1:20" x14ac:dyDescent="0.25">
      <c r="A15" s="156" t="s">
        <v>253</v>
      </c>
      <c r="B15" s="205" t="s">
        <v>31</v>
      </c>
      <c r="C15" s="229" t="s">
        <v>245</v>
      </c>
      <c r="D15" s="265">
        <f>E15/$E$18</f>
        <v>0.9405775320653782</v>
      </c>
      <c r="E15" s="270">
        <f>VLOOKUP(A15,[2]TAVERN!1:1048576,14,FALSE)</f>
        <v>1045799</v>
      </c>
      <c r="F15" s="271">
        <f>G15+('[2]Catering Admin Allocation'!I16)</f>
        <v>-122967.7101862503</v>
      </c>
      <c r="G15" s="355">
        <f>VLOOKUP(B15,[2]TAVERN!1:1048576,14,FALSE)</f>
        <v>63838.976321563619</v>
      </c>
      <c r="H15" s="272">
        <v>-30195.97</v>
      </c>
      <c r="I15" s="289">
        <v>61759.88</v>
      </c>
      <c r="J15" s="272">
        <v>6299.86</v>
      </c>
      <c r="K15" s="289">
        <v>39440.408371177502</v>
      </c>
      <c r="L15" s="272">
        <v>-31429.05</v>
      </c>
      <c r="M15" s="289">
        <v>14639.97</v>
      </c>
      <c r="N15" s="274">
        <v>-9676.1200000000008</v>
      </c>
      <c r="O15" s="289">
        <v>15234.45</v>
      </c>
      <c r="P15" s="243">
        <v>58308.91</v>
      </c>
      <c r="Q15" s="242">
        <v>23161.69</v>
      </c>
      <c r="R15" s="244">
        <v>-2318.29</v>
      </c>
      <c r="S15" s="242">
        <v>39628.050000000003</v>
      </c>
    </row>
    <row r="16" spans="1:20" s="250" customFormat="1" ht="15" x14ac:dyDescent="0.25">
      <c r="A16" s="153"/>
      <c r="B16" s="290"/>
      <c r="C16" s="291" t="s">
        <v>312</v>
      </c>
      <c r="D16" s="292"/>
      <c r="E16" s="293"/>
      <c r="F16" s="359">
        <f t="shared" ref="F16:K16" si="3">SUM(F15)</f>
        <v>-122967.7101862503</v>
      </c>
      <c r="G16" s="360">
        <f t="shared" si="3"/>
        <v>63838.976321563619</v>
      </c>
      <c r="H16" s="294">
        <f t="shared" si="3"/>
        <v>-30195.97</v>
      </c>
      <c r="I16" s="295">
        <f t="shared" si="3"/>
        <v>61759.88</v>
      </c>
      <c r="J16" s="294">
        <f t="shared" si="3"/>
        <v>6299.86</v>
      </c>
      <c r="K16" s="295">
        <f t="shared" si="3"/>
        <v>39440.408371177502</v>
      </c>
      <c r="L16" s="294"/>
      <c r="M16" s="295"/>
      <c r="N16" s="296"/>
      <c r="O16" s="295"/>
      <c r="P16" s="297"/>
      <c r="Q16" s="298"/>
      <c r="R16" s="299"/>
      <c r="S16" s="298"/>
    </row>
    <row r="17" spans="1:20" x14ac:dyDescent="0.25">
      <c r="A17" s="153"/>
      <c r="B17" s="8"/>
      <c r="C17" s="300"/>
      <c r="D17" s="301"/>
      <c r="E17" s="302"/>
      <c r="F17" s="303"/>
      <c r="G17" s="361"/>
      <c r="H17" s="304"/>
      <c r="I17" s="305"/>
      <c r="J17" s="304"/>
      <c r="K17" s="305"/>
      <c r="L17" s="304"/>
      <c r="M17" s="305"/>
      <c r="N17" s="306"/>
      <c r="O17" s="305"/>
      <c r="P17" s="307"/>
      <c r="Q17" s="308"/>
      <c r="R17" s="309"/>
      <c r="S17" s="308"/>
    </row>
    <row r="18" spans="1:20" ht="16.5" thickBot="1" x14ac:dyDescent="0.3">
      <c r="C18" s="245" t="s">
        <v>313</v>
      </c>
      <c r="D18" s="310">
        <f>SUM(D3:D15)</f>
        <v>1.3380784966574299</v>
      </c>
      <c r="E18" s="246">
        <f>SUM(E13:E15)</f>
        <v>1111869</v>
      </c>
      <c r="F18" s="311">
        <f>SUM(F13,F16)</f>
        <v>204180.46391820724</v>
      </c>
      <c r="G18" s="362">
        <f>SUM(G13,G16)</f>
        <v>204180.46391820724</v>
      </c>
      <c r="H18" s="312">
        <f>SUM(H16,H13)</f>
        <v>13629.899999999965</v>
      </c>
      <c r="I18" s="313">
        <f t="shared" ref="I18" si="4">SUM(I13:I15)</f>
        <v>260603.7</v>
      </c>
      <c r="J18" s="312">
        <f>SUM(J13,J16)</f>
        <v>28586.939999999988</v>
      </c>
      <c r="K18" s="313">
        <f t="shared" ref="K18:S18" si="5">SUM(K13:K15)</f>
        <v>56720.113045056642</v>
      </c>
      <c r="L18" s="312">
        <f t="shared" si="5"/>
        <v>61099.529999999984</v>
      </c>
      <c r="M18" s="313">
        <f t="shared" si="5"/>
        <v>187906.15331609853</v>
      </c>
      <c r="N18" s="314">
        <f t="shared" si="5"/>
        <v>141903.81</v>
      </c>
      <c r="O18" s="313">
        <f t="shared" si="5"/>
        <v>148296.25101330783</v>
      </c>
      <c r="P18" s="248">
        <f t="shared" si="5"/>
        <v>427743.64000000013</v>
      </c>
      <c r="Q18" s="247">
        <f t="shared" si="5"/>
        <v>230389.81265136582</v>
      </c>
      <c r="R18" s="249">
        <f t="shared" si="5"/>
        <v>187265.68999999997</v>
      </c>
      <c r="S18" s="247">
        <f t="shared" si="5"/>
        <v>126010.41000000005</v>
      </c>
    </row>
    <row r="19" spans="1:20" ht="16.5" thickTop="1" x14ac:dyDescent="0.25">
      <c r="C19" s="250"/>
      <c r="D19" s="250"/>
      <c r="E19" s="250"/>
      <c r="F19" s="250"/>
      <c r="G19" s="251"/>
      <c r="H19" s="255"/>
      <c r="I19" s="252"/>
      <c r="J19" s="255"/>
      <c r="K19" s="252"/>
      <c r="L19" s="255"/>
      <c r="M19" s="252"/>
      <c r="N19" s="253"/>
      <c r="O19" s="254"/>
      <c r="P19" s="254" t="s">
        <v>314</v>
      </c>
      <c r="Q19" s="252"/>
      <c r="R19" s="255"/>
      <c r="S19" s="256"/>
    </row>
    <row r="20" spans="1:20" x14ac:dyDescent="0.25">
      <c r="F20" s="221"/>
      <c r="G20" s="221"/>
      <c r="H20" s="262"/>
    </row>
    <row r="21" spans="1:20" s="159" customFormat="1" ht="30" hidden="1" x14ac:dyDescent="0.25">
      <c r="C21" s="238" t="s">
        <v>315</v>
      </c>
      <c r="D21" s="238"/>
      <c r="E21" s="238"/>
      <c r="F21" s="315" t="s">
        <v>316</v>
      </c>
      <c r="G21" s="316" t="s">
        <v>317</v>
      </c>
      <c r="H21" s="317"/>
      <c r="I21" s="318"/>
      <c r="J21" s="317" t="s">
        <v>293</v>
      </c>
      <c r="K21" s="318" t="s">
        <v>294</v>
      </c>
      <c r="L21" s="317" t="s">
        <v>296</v>
      </c>
      <c r="M21" s="319" t="s">
        <v>298</v>
      </c>
      <c r="N21" s="319" t="s">
        <v>300</v>
      </c>
      <c r="O21" s="320"/>
      <c r="P21" s="222"/>
      <c r="Q21" s="222"/>
      <c r="R21" s="222"/>
      <c r="S21" s="222"/>
      <c r="T21"/>
    </row>
    <row r="22" spans="1:20" hidden="1" x14ac:dyDescent="0.25">
      <c r="B22" s="321" t="s">
        <v>253</v>
      </c>
      <c r="C22" s="229" t="s">
        <v>318</v>
      </c>
      <c r="D22" s="229"/>
      <c r="E22" s="229"/>
      <c r="F22" s="322">
        <f>'[2]BUSINESS SCHOOL'!N11+[2]CATALYST!N13+[2]DENTISTRY!N13+[2]NEDLANDS!N13+[2]FUNCTIONS!N12+[2]HACKETT!N13+[2]QUOBBA!N13+[2]TAVERN!N15</f>
        <v>1487768</v>
      </c>
      <c r="G22" s="323">
        <v>4220326</v>
      </c>
      <c r="H22" s="323"/>
      <c r="I22" s="324"/>
      <c r="J22" s="323">
        <v>4354350</v>
      </c>
      <c r="K22" s="324">
        <v>3720732</v>
      </c>
      <c r="L22" s="323">
        <v>4143927</v>
      </c>
      <c r="M22" s="324">
        <v>3366966</v>
      </c>
      <c r="N22" s="324">
        <v>6107752</v>
      </c>
    </row>
    <row r="23" spans="1:20" hidden="1" x14ac:dyDescent="0.25">
      <c r="B23" s="321" t="s">
        <v>250</v>
      </c>
      <c r="C23" s="229" t="s">
        <v>319</v>
      </c>
      <c r="D23" s="229"/>
      <c r="E23" s="229"/>
      <c r="F23" s="325">
        <f>[2]TAVERN!N12</f>
        <v>-94121.91</v>
      </c>
      <c r="G23" s="325">
        <v>-245184</v>
      </c>
      <c r="H23" s="325"/>
      <c r="I23" s="326"/>
      <c r="J23" s="325">
        <v>-10000</v>
      </c>
      <c r="K23" s="326">
        <v>-155444</v>
      </c>
      <c r="L23" s="325">
        <v>-175310</v>
      </c>
      <c r="M23" s="326">
        <v>-148666</v>
      </c>
      <c r="N23" s="326">
        <v>-477897</v>
      </c>
    </row>
    <row r="24" spans="1:20" hidden="1" x14ac:dyDescent="0.25">
      <c r="B24" s="327" t="s">
        <v>257</v>
      </c>
      <c r="C24" s="229" t="s">
        <v>320</v>
      </c>
      <c r="D24" s="229"/>
      <c r="E24" s="229"/>
      <c r="F24" s="322">
        <f>-SUM('[2]BUSINESS SCHOOL'!N21,[2]CATALYST!N23,[2]DENTISTRY!N23,[2]NEDLANDS!N23,[2]FUNCTIONS!N15,[2]HACKETT!N23,[2]QUOBBA!N23,[2]TAVERN!N19)</f>
        <v>-613887.90150000015</v>
      </c>
      <c r="G24" s="323">
        <v>-1467789</v>
      </c>
      <c r="H24" s="323"/>
      <c r="I24" s="324"/>
      <c r="J24" s="323">
        <v>-1499041</v>
      </c>
      <c r="K24" s="324">
        <v>-1300130</v>
      </c>
      <c r="L24" s="323">
        <v>-1488438</v>
      </c>
      <c r="M24" s="324">
        <v>-1233886</v>
      </c>
      <c r="N24" s="324">
        <v>-2342286</v>
      </c>
    </row>
    <row r="25" spans="1:20" hidden="1" x14ac:dyDescent="0.25">
      <c r="B25" s="327"/>
      <c r="C25" s="229"/>
      <c r="D25" s="229"/>
      <c r="E25" s="229"/>
      <c r="F25" s="283">
        <f>F24/F22</f>
        <v>-0.41262340734576908</v>
      </c>
      <c r="G25" s="283">
        <f>G24/G22</f>
        <v>-0.34779043135530291</v>
      </c>
      <c r="H25" s="323"/>
      <c r="I25" s="324"/>
      <c r="J25" s="323"/>
      <c r="K25" s="324"/>
      <c r="L25" s="323"/>
      <c r="M25" s="324"/>
      <c r="N25" s="324"/>
    </row>
    <row r="26" spans="1:20" hidden="1" x14ac:dyDescent="0.25">
      <c r="B26" s="321" t="s">
        <v>228</v>
      </c>
      <c r="C26" s="229" t="s">
        <v>321</v>
      </c>
      <c r="D26" s="229"/>
      <c r="E26" s="229"/>
      <c r="F26" s="322">
        <f>-SUM('[2]BUSINESS SCHOOL'!N51,[2]CATALYST!N56,[2]DENTISTRY!N55,[2]NEDLANDS!N55,[2]FUNCTIONS!N46,[2]HACKETT!N55,[2]KITCHEN!N39,[2]QUOBBA!N53,'[2] CATERING ADMIN'!N37,[2]TAVERN!N61)</f>
        <v>-1766591.6502140777</v>
      </c>
      <c r="G26" s="323">
        <v>-2058177</v>
      </c>
      <c r="H26" s="323"/>
      <c r="I26" s="324"/>
      <c r="J26" s="323">
        <v>-2216050</v>
      </c>
      <c r="K26" s="324">
        <v>-1980752</v>
      </c>
      <c r="L26" s="323">
        <v>-2043200</v>
      </c>
      <c r="M26" s="324">
        <v>-1180688</v>
      </c>
      <c r="N26" s="324">
        <v>-2470216</v>
      </c>
    </row>
    <row r="27" spans="1:20" hidden="1" x14ac:dyDescent="0.25">
      <c r="B27" s="321"/>
      <c r="C27" s="229"/>
      <c r="D27" s="229"/>
      <c r="E27" s="229"/>
      <c r="F27" s="283">
        <f>F26/F22</f>
        <v>-1.1874107053076002</v>
      </c>
      <c r="G27" s="328">
        <f>G26/G22</f>
        <v>-0.48768199423456859</v>
      </c>
      <c r="H27" s="323"/>
      <c r="I27" s="324"/>
      <c r="J27" s="323"/>
      <c r="K27" s="324"/>
      <c r="L27" s="323"/>
      <c r="M27" s="324"/>
      <c r="N27" s="324"/>
    </row>
    <row r="28" spans="1:20" hidden="1" x14ac:dyDescent="0.25">
      <c r="B28" s="321" t="s">
        <v>196</v>
      </c>
      <c r="C28" s="229" t="s">
        <v>322</v>
      </c>
      <c r="D28" s="229"/>
      <c r="E28" s="229"/>
      <c r="F28" s="322">
        <f>-SUM('[2]BUSINESS SCHOOL'!N43,[2]CATALYST!N48,[2]DENTISTRY!N47,[2]NEDLANDS!N45,[2]FUNCTIONS!N38,[2]KITCHEN!N31,[2]QUOBBA!N45,'[2] CATERING ADMIN'!N30,[2]TAVERN!N53,[2]HACKETT!N47)</f>
        <v>-353634.35198496759</v>
      </c>
      <c r="G28" s="323">
        <v>-507509</v>
      </c>
      <c r="H28" s="323"/>
      <c r="I28" s="324"/>
      <c r="J28" s="323">
        <v>-664093</v>
      </c>
      <c r="K28" s="324">
        <v>-512620</v>
      </c>
      <c r="L28" s="323">
        <v>-647945</v>
      </c>
      <c r="M28" s="324">
        <v>-622762</v>
      </c>
      <c r="N28" s="324">
        <v>-902332</v>
      </c>
    </row>
    <row r="29" spans="1:20" hidden="1" x14ac:dyDescent="0.25">
      <c r="B29" s="158" t="s">
        <v>206</v>
      </c>
      <c r="C29" s="229" t="s">
        <v>323</v>
      </c>
      <c r="D29" s="229"/>
      <c r="E29" s="229"/>
      <c r="F29" s="322">
        <f>SUM([2]NEDLANDS!N62,[2]FUNCTIONS!N61,[2]TAVERN!N77)</f>
        <v>87855</v>
      </c>
      <c r="G29" s="323">
        <v>169042</v>
      </c>
      <c r="H29" s="323"/>
      <c r="I29" s="324"/>
      <c r="J29" s="323">
        <v>93056</v>
      </c>
      <c r="K29" s="324">
        <v>141313</v>
      </c>
      <c r="L29" s="323">
        <v>162380</v>
      </c>
      <c r="M29" s="324">
        <v>116613</v>
      </c>
      <c r="N29" s="324">
        <v>180833</v>
      </c>
    </row>
    <row r="30" spans="1:20" hidden="1" x14ac:dyDescent="0.25">
      <c r="C30" s="229"/>
      <c r="D30" s="229"/>
      <c r="E30" s="229"/>
      <c r="F30" s="322"/>
      <c r="G30" s="323"/>
      <c r="H30" s="323"/>
      <c r="I30" s="324"/>
      <c r="J30" s="323"/>
      <c r="K30" s="324"/>
      <c r="L30" s="323"/>
      <c r="M30" s="324"/>
      <c r="N30" s="324"/>
    </row>
    <row r="31" spans="1:20" hidden="1" x14ac:dyDescent="0.25">
      <c r="C31" s="229" t="s">
        <v>324</v>
      </c>
      <c r="D31" s="229"/>
      <c r="E31" s="229"/>
      <c r="F31" s="324">
        <f>SUM(F22:F30)</f>
        <v>-1252614.4137331578</v>
      </c>
      <c r="G31" s="326">
        <f>SUM(G22:G29)</f>
        <v>110708.16452757455</v>
      </c>
      <c r="H31" s="326"/>
      <c r="I31" s="326"/>
      <c r="J31" s="326">
        <f>SUM(J22:J29)</f>
        <v>58222</v>
      </c>
      <c r="K31" s="326">
        <f>SUM(K22:K29)</f>
        <v>-86901</v>
      </c>
      <c r="L31" s="326">
        <f t="shared" ref="L31:N31" si="6">SUM(L22:L29)</f>
        <v>-48586</v>
      </c>
      <c r="M31" s="326">
        <f t="shared" si="6"/>
        <v>297577</v>
      </c>
      <c r="N31" s="326">
        <f t="shared" si="6"/>
        <v>95854</v>
      </c>
    </row>
    <row r="32" spans="1:20" hidden="1" x14ac:dyDescent="0.25">
      <c r="C32" s="229" t="s">
        <v>325</v>
      </c>
      <c r="D32" s="229"/>
      <c r="E32" s="229"/>
      <c r="F32" s="283">
        <f>(F22+F24)/F22</f>
        <v>0.58737659265423092</v>
      </c>
      <c r="G32" s="283">
        <f t="shared" ref="G32:N32" si="7">(G22+G24)/G22</f>
        <v>0.65220956864469715</v>
      </c>
      <c r="H32" s="283"/>
      <c r="I32" s="283"/>
      <c r="J32" s="283">
        <f t="shared" si="7"/>
        <v>0.65573713642679154</v>
      </c>
      <c r="K32" s="283">
        <f t="shared" si="7"/>
        <v>0.65057144669382261</v>
      </c>
      <c r="L32" s="283">
        <f t="shared" si="7"/>
        <v>0.64081461859728706</v>
      </c>
      <c r="M32" s="283">
        <f t="shared" si="7"/>
        <v>0.6335317909358158</v>
      </c>
      <c r="N32" s="283">
        <f t="shared" si="7"/>
        <v>0.6165060401928566</v>
      </c>
    </row>
    <row r="33" spans="3:14" hidden="1" x14ac:dyDescent="0.25">
      <c r="C33" s="229" t="s">
        <v>326</v>
      </c>
      <c r="D33" s="229"/>
      <c r="E33" s="229"/>
      <c r="F33" s="283">
        <f>F26/F22</f>
        <v>-1.1874107053076002</v>
      </c>
      <c r="G33" s="328">
        <f t="shared" ref="G33:J33" si="8">G26/G22</f>
        <v>-0.48768199423456859</v>
      </c>
      <c r="H33" s="328"/>
      <c r="I33" s="283"/>
      <c r="J33" s="328">
        <f t="shared" si="8"/>
        <v>-0.50892785375543992</v>
      </c>
      <c r="K33" s="283">
        <f>K26/K22</f>
        <v>-0.53235546123719746</v>
      </c>
      <c r="L33" s="328">
        <f>L26/L22</f>
        <v>-0.49305887869163717</v>
      </c>
      <c r="M33" s="283">
        <f t="shared" ref="M33:N33" si="9">M26/M22</f>
        <v>-0.35066822771599121</v>
      </c>
      <c r="N33" s="283">
        <f t="shared" si="9"/>
        <v>-0.40443947298449578</v>
      </c>
    </row>
    <row r="34" spans="3:14" hidden="1" x14ac:dyDescent="0.25">
      <c r="C34" s="229" t="s">
        <v>327</v>
      </c>
      <c r="D34" s="229"/>
      <c r="E34" s="229"/>
      <c r="F34" s="329">
        <f>F31/F22</f>
        <v>-0.84194203244938581</v>
      </c>
      <c r="G34" s="330">
        <f t="shared" ref="G34:J34" si="10">G31/G22</f>
        <v>2.6232135746758558E-2</v>
      </c>
      <c r="H34" s="331"/>
      <c r="I34" s="329"/>
      <c r="J34" s="331">
        <f t="shared" si="10"/>
        <v>1.3370996819272681E-2</v>
      </c>
      <c r="K34" s="329">
        <f>K31/K22</f>
        <v>-2.335588803493506E-2</v>
      </c>
      <c r="L34" s="331">
        <f>L31/L22</f>
        <v>-1.1724627388465097E-2</v>
      </c>
      <c r="M34" s="283">
        <f t="shared" ref="M34:N34" si="11">M31/M22</f>
        <v>8.8381349856220703E-2</v>
      </c>
      <c r="N34" s="283">
        <f t="shared" si="11"/>
        <v>1.5693826468396229E-2</v>
      </c>
    </row>
    <row r="35" spans="3:14" hidden="1" x14ac:dyDescent="0.25">
      <c r="C35" s="229"/>
      <c r="D35" s="229"/>
      <c r="E35" s="229"/>
      <c r="F35" s="332"/>
      <c r="G35" s="333"/>
      <c r="H35" s="333"/>
      <c r="I35" s="243"/>
      <c r="J35" s="333"/>
      <c r="K35" s="243"/>
      <c r="L35" s="333"/>
      <c r="M35" s="243"/>
      <c r="N35" s="243"/>
    </row>
    <row r="36" spans="3:14" hidden="1" x14ac:dyDescent="0.25">
      <c r="C36" s="229"/>
      <c r="D36" s="229"/>
      <c r="E36" s="229"/>
      <c r="F36" s="332"/>
      <c r="G36" s="333"/>
      <c r="H36" s="333"/>
      <c r="I36" s="243"/>
      <c r="J36" s="333"/>
      <c r="K36" s="243"/>
      <c r="L36" s="333"/>
      <c r="M36" s="243" t="s">
        <v>314</v>
      </c>
      <c r="N36" s="243"/>
    </row>
    <row r="37" spans="3:14" hidden="1" x14ac:dyDescent="0.25">
      <c r="G37" s="221"/>
      <c r="H37" s="262"/>
    </row>
    <row r="38" spans="3:14" x14ac:dyDescent="0.25">
      <c r="F38" s="334">
        <f>F18-F31</f>
        <v>1456794.877651365</v>
      </c>
      <c r="G38" s="221"/>
      <c r="H38" s="262"/>
    </row>
    <row r="39" spans="3:14" x14ac:dyDescent="0.25">
      <c r="G39" s="221"/>
      <c r="H39" s="262"/>
    </row>
    <row r="40" spans="3:14" x14ac:dyDescent="0.25">
      <c r="G40" s="221"/>
      <c r="H40" s="262"/>
    </row>
    <row r="41" spans="3:14" x14ac:dyDescent="0.25">
      <c r="G41" s="221"/>
      <c r="H41" s="262"/>
    </row>
  </sheetData>
  <pageMargins left="0.7" right="0.7" top="0.75" bottom="0.75" header="0.3" footer="0.3"/>
  <pageSetup paperSize="9" scale="73" orientation="landscape" r:id="rId1"/>
  <colBreaks count="1" manualBreakCount="1">
    <brk id="1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CA6E6-8CF0-CC47-B4D8-107A7A2D8118}">
  <sheetPr codeName="Sheet8">
    <tabColor rgb="FFFFFF00"/>
  </sheetPr>
  <dimension ref="A1:N38"/>
  <sheetViews>
    <sheetView topLeftCell="A9" zoomScaleNormal="100" workbookViewId="0">
      <selection activeCell="P31" sqref="P31"/>
    </sheetView>
  </sheetViews>
  <sheetFormatPr defaultColWidth="6.5" defaultRowHeight="15.75" x14ac:dyDescent="0.25"/>
  <cols>
    <col min="1" max="1" width="48.875" bestFit="1" customWidth="1"/>
    <col min="2" max="14" width="9.375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56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212</v>
      </c>
      <c r="B11" s="155">
        <v>15</v>
      </c>
      <c r="C11" s="155">
        <v>15</v>
      </c>
      <c r="D11" s="155">
        <v>15</v>
      </c>
      <c r="E11" s="155">
        <v>15</v>
      </c>
      <c r="F11" s="155">
        <v>15</v>
      </c>
      <c r="G11" s="155">
        <v>15</v>
      </c>
      <c r="H11" s="155">
        <v>15</v>
      </c>
      <c r="I11" s="155">
        <v>15</v>
      </c>
      <c r="J11" s="155">
        <v>15</v>
      </c>
      <c r="K11" s="155">
        <v>15</v>
      </c>
      <c r="L11" s="155">
        <v>15</v>
      </c>
      <c r="M11" s="155">
        <v>15</v>
      </c>
      <c r="N11" s="155">
        <f t="shared" ref="N11:N22" si="1">SUM(B11:M11)</f>
        <v>180</v>
      </c>
    </row>
    <row r="12" spans="1:14" x14ac:dyDescent="0.25">
      <c r="A12" s="154" t="s">
        <v>213</v>
      </c>
      <c r="B12" s="155">
        <v>20</v>
      </c>
      <c r="C12" s="155">
        <v>20</v>
      </c>
      <c r="D12" s="155">
        <v>20</v>
      </c>
      <c r="E12" s="155">
        <v>20</v>
      </c>
      <c r="F12" s="155">
        <v>20</v>
      </c>
      <c r="G12" s="155">
        <v>20</v>
      </c>
      <c r="H12" s="155">
        <v>20</v>
      </c>
      <c r="I12" s="155">
        <v>20</v>
      </c>
      <c r="J12" s="155">
        <v>20</v>
      </c>
      <c r="K12" s="155">
        <v>20</v>
      </c>
      <c r="L12" s="155">
        <v>20</v>
      </c>
      <c r="M12" s="155">
        <v>20</v>
      </c>
      <c r="N12" s="155">
        <f>SUM(B12:M12)</f>
        <v>240</v>
      </c>
    </row>
    <row r="13" spans="1:14" x14ac:dyDescent="0.25">
      <c r="A13" s="154" t="s">
        <v>328</v>
      </c>
      <c r="B13" s="155">
        <v>0</v>
      </c>
      <c r="C13" s="155">
        <v>0</v>
      </c>
      <c r="D13" s="155">
        <v>0</v>
      </c>
      <c r="E13" s="155">
        <v>0</v>
      </c>
      <c r="F13" s="155">
        <v>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f t="shared" si="1"/>
        <v>0</v>
      </c>
    </row>
    <row r="14" spans="1:14" x14ac:dyDescent="0.25">
      <c r="A14" s="154" t="s">
        <v>329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2000</v>
      </c>
      <c r="H14" s="155">
        <v>2000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ref="N14" si="2">SUM(B14:M14)</f>
        <v>4000</v>
      </c>
    </row>
    <row r="15" spans="1:14" x14ac:dyDescent="0.25">
      <c r="A15" s="154" t="s">
        <v>214</v>
      </c>
      <c r="B15" s="155">
        <v>25</v>
      </c>
      <c r="C15" s="155">
        <v>25</v>
      </c>
      <c r="D15" s="155">
        <v>25</v>
      </c>
      <c r="E15" s="155">
        <v>25</v>
      </c>
      <c r="F15" s="155">
        <v>25</v>
      </c>
      <c r="G15" s="155">
        <v>25</v>
      </c>
      <c r="H15" s="155">
        <v>25</v>
      </c>
      <c r="I15" s="155">
        <v>25</v>
      </c>
      <c r="J15" s="155">
        <v>25</v>
      </c>
      <c r="K15" s="155">
        <v>25</v>
      </c>
      <c r="L15" s="155">
        <v>25</v>
      </c>
      <c r="M15" s="155">
        <v>25</v>
      </c>
      <c r="N15" s="155">
        <f t="shared" si="1"/>
        <v>300</v>
      </c>
    </row>
    <row r="16" spans="1:14" x14ac:dyDescent="0.25">
      <c r="A16" s="154" t="s">
        <v>264</v>
      </c>
      <c r="B16" s="155">
        <v>500</v>
      </c>
      <c r="C16" s="155">
        <v>0</v>
      </c>
      <c r="D16" s="155">
        <v>0</v>
      </c>
      <c r="E16" s="155">
        <v>0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ref="N16" si="3">SUM(B16:M16)</f>
        <v>500</v>
      </c>
    </row>
    <row r="17" spans="1:14" x14ac:dyDescent="0.25">
      <c r="A17" s="154" t="s">
        <v>265</v>
      </c>
      <c r="B17" s="155">
        <v>0</v>
      </c>
      <c r="C17" s="155">
        <v>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1"/>
        <v>0</v>
      </c>
    </row>
    <row r="18" spans="1:14" x14ac:dyDescent="0.25">
      <c r="A18" s="154" t="s">
        <v>330</v>
      </c>
      <c r="B18" s="155">
        <v>0</v>
      </c>
      <c r="C18" s="155">
        <v>0</v>
      </c>
      <c r="D18" s="155">
        <v>1000</v>
      </c>
      <c r="E18" s="155">
        <v>0</v>
      </c>
      <c r="F18" s="155">
        <v>0</v>
      </c>
      <c r="G18" s="155">
        <v>0</v>
      </c>
      <c r="H18" s="155">
        <v>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f t="shared" ref="N18" si="4">SUM(B18:M18)</f>
        <v>1000</v>
      </c>
    </row>
    <row r="19" spans="1:14" x14ac:dyDescent="0.25">
      <c r="A19" s="154" t="s">
        <v>267</v>
      </c>
      <c r="B19" s="155">
        <v>0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1"/>
        <v>0</v>
      </c>
    </row>
    <row r="20" spans="1:14" x14ac:dyDescent="0.25">
      <c r="A20" s="154" t="s">
        <v>270</v>
      </c>
      <c r="B20" s="155">
        <v>20</v>
      </c>
      <c r="C20" s="155">
        <v>20</v>
      </c>
      <c r="D20" s="155">
        <v>20</v>
      </c>
      <c r="E20" s="155">
        <v>20</v>
      </c>
      <c r="F20" s="155">
        <v>20</v>
      </c>
      <c r="G20" s="155">
        <v>20</v>
      </c>
      <c r="H20" s="155">
        <v>20</v>
      </c>
      <c r="I20" s="155">
        <v>20</v>
      </c>
      <c r="J20" s="155">
        <v>20</v>
      </c>
      <c r="K20" s="155">
        <v>20</v>
      </c>
      <c r="L20" s="155">
        <v>20</v>
      </c>
      <c r="M20" s="155">
        <v>20</v>
      </c>
      <c r="N20" s="155">
        <f t="shared" si="1"/>
        <v>240</v>
      </c>
    </row>
    <row r="21" spans="1:14" x14ac:dyDescent="0.25">
      <c r="A21" s="154" t="s">
        <v>331</v>
      </c>
      <c r="B21" s="155">
        <v>15000</v>
      </c>
      <c r="C21" s="155">
        <v>4000</v>
      </c>
      <c r="D21" s="155">
        <v>2000</v>
      </c>
      <c r="E21" s="155">
        <v>2000</v>
      </c>
      <c r="F21" s="155">
        <v>2000</v>
      </c>
      <c r="G21" s="155">
        <v>2000</v>
      </c>
      <c r="H21" s="155">
        <v>2000</v>
      </c>
      <c r="I21" s="155">
        <v>2000</v>
      </c>
      <c r="J21" s="155">
        <v>2000</v>
      </c>
      <c r="K21" s="155">
        <v>2000</v>
      </c>
      <c r="L21" s="155">
        <v>0</v>
      </c>
      <c r="M21" s="155">
        <v>0</v>
      </c>
      <c r="N21" s="155">
        <f t="shared" ref="N21" si="5">SUM(B21:M21)</f>
        <v>35000</v>
      </c>
    </row>
    <row r="22" spans="1:14" x14ac:dyDescent="0.25">
      <c r="A22" s="154" t="s">
        <v>275</v>
      </c>
      <c r="B22" s="155">
        <v>0</v>
      </c>
      <c r="C22" s="155">
        <v>0</v>
      </c>
      <c r="D22" s="155">
        <v>0</v>
      </c>
      <c r="E22" s="155">
        <v>0</v>
      </c>
      <c r="F22" s="155">
        <v>0</v>
      </c>
      <c r="G22" s="155">
        <v>0</v>
      </c>
      <c r="H22" s="155">
        <v>0</v>
      </c>
      <c r="I22" s="155">
        <v>0</v>
      </c>
      <c r="J22" s="155">
        <v>0</v>
      </c>
      <c r="K22" s="155">
        <v>0</v>
      </c>
      <c r="L22" s="155">
        <v>0</v>
      </c>
      <c r="M22" s="155">
        <v>0</v>
      </c>
      <c r="N22" s="155">
        <f t="shared" si="1"/>
        <v>0</v>
      </c>
    </row>
    <row r="23" spans="1:14" x14ac:dyDescent="0.25">
      <c r="A23" s="156" t="s">
        <v>196</v>
      </c>
      <c r="B23" s="157">
        <f t="shared" ref="B23:M23" si="6">SUM(B11:B22)</f>
        <v>15580</v>
      </c>
      <c r="C23" s="157">
        <f t="shared" si="6"/>
        <v>4080</v>
      </c>
      <c r="D23" s="157">
        <f t="shared" si="6"/>
        <v>3080</v>
      </c>
      <c r="E23" s="157">
        <f t="shared" si="6"/>
        <v>2080</v>
      </c>
      <c r="F23" s="157">
        <f t="shared" si="6"/>
        <v>2080</v>
      </c>
      <c r="G23" s="157">
        <f t="shared" si="6"/>
        <v>4080</v>
      </c>
      <c r="H23" s="157">
        <f t="shared" si="6"/>
        <v>4080</v>
      </c>
      <c r="I23" s="157">
        <f t="shared" si="6"/>
        <v>2080</v>
      </c>
      <c r="J23" s="157">
        <f t="shared" si="6"/>
        <v>2080</v>
      </c>
      <c r="K23" s="157">
        <f t="shared" si="6"/>
        <v>2080</v>
      </c>
      <c r="L23" s="157">
        <f t="shared" si="6"/>
        <v>80</v>
      </c>
      <c r="M23" s="157">
        <f t="shared" si="6"/>
        <v>80</v>
      </c>
      <c r="N23" s="157">
        <f>SUM(N11:N22)</f>
        <v>41460</v>
      </c>
    </row>
    <row r="24" spans="1:14" x14ac:dyDescent="0.25">
      <c r="A24" s="153" t="s">
        <v>222</v>
      </c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</row>
    <row r="25" spans="1:14" x14ac:dyDescent="0.25">
      <c r="A25" s="154" t="s">
        <v>223</v>
      </c>
      <c r="B25" s="155">
        <v>3466.2271848249025</v>
      </c>
      <c r="C25" s="155">
        <v>3648.660194552529</v>
      </c>
      <c r="D25" s="155">
        <v>3831.0932042801555</v>
      </c>
      <c r="E25" s="155">
        <v>4013.5262140077821</v>
      </c>
      <c r="F25" s="155">
        <v>4195.9592237354082</v>
      </c>
      <c r="G25" s="155">
        <v>3648.660194552529</v>
      </c>
      <c r="H25" s="155">
        <v>4195.9592237354082</v>
      </c>
      <c r="I25" s="155">
        <v>4013.5262140077821</v>
      </c>
      <c r="J25" s="155">
        <v>3831.0932042801555</v>
      </c>
      <c r="K25" s="155">
        <v>4195.9592237354082</v>
      </c>
      <c r="L25" s="155">
        <v>3831.0932042801555</v>
      </c>
      <c r="M25" s="155">
        <v>4013.5262140077821</v>
      </c>
      <c r="N25" s="155">
        <f>SUM(B25:M25)</f>
        <v>46885.283500000005</v>
      </c>
    </row>
    <row r="26" spans="1:14" x14ac:dyDescent="0.25">
      <c r="A26" s="154" t="s">
        <v>224</v>
      </c>
      <c r="B26" s="155">
        <v>436.61050525964009</v>
      </c>
      <c r="C26" s="155">
        <v>459.59000553646331</v>
      </c>
      <c r="D26" s="155">
        <v>482.56950581328647</v>
      </c>
      <c r="E26" s="155">
        <v>505.54900609010963</v>
      </c>
      <c r="F26" s="155">
        <v>528.52850636693279</v>
      </c>
      <c r="G26" s="155">
        <v>459.59000553646331</v>
      </c>
      <c r="H26" s="155">
        <v>528.52850636693279</v>
      </c>
      <c r="I26" s="155">
        <v>505.54900609010963</v>
      </c>
      <c r="J26" s="155">
        <v>482.56950581328647</v>
      </c>
      <c r="K26" s="155">
        <v>528.52850636693279</v>
      </c>
      <c r="L26" s="155">
        <v>482.56950581328647</v>
      </c>
      <c r="M26" s="155">
        <v>505.54900609010963</v>
      </c>
      <c r="N26" s="155">
        <f>SUM(B26:M26)</f>
        <v>5905.7315711435522</v>
      </c>
    </row>
    <row r="27" spans="1:14" x14ac:dyDescent="0.25">
      <c r="A27" s="154" t="s">
        <v>225</v>
      </c>
      <c r="B27" s="155">
        <v>36.728596156314204</v>
      </c>
      <c r="C27" s="155">
        <v>38.661680164541266</v>
      </c>
      <c r="D27" s="155">
        <v>40.594764172768329</v>
      </c>
      <c r="E27" s="155">
        <v>42.527848180995392</v>
      </c>
      <c r="F27" s="155">
        <v>44.460932189222454</v>
      </c>
      <c r="G27" s="155">
        <v>38.661680164541266</v>
      </c>
      <c r="H27" s="155">
        <v>44.460932189222454</v>
      </c>
      <c r="I27" s="155">
        <v>42.527848180995392</v>
      </c>
      <c r="J27" s="155">
        <v>40.594764172768329</v>
      </c>
      <c r="K27" s="155">
        <v>44.460932189222454</v>
      </c>
      <c r="L27" s="155">
        <v>40.594764172768329</v>
      </c>
      <c r="M27" s="155">
        <v>42.527848180995392</v>
      </c>
      <c r="N27" s="155">
        <f>SUM(B27:M27)</f>
        <v>496.80259011435521</v>
      </c>
    </row>
    <row r="28" spans="1:14" x14ac:dyDescent="0.25">
      <c r="A28" s="154" t="s">
        <v>226</v>
      </c>
      <c r="B28" s="155">
        <v>313.28515200860176</v>
      </c>
      <c r="C28" s="155">
        <v>329.77384421958078</v>
      </c>
      <c r="D28" s="155">
        <v>346.26253643055981</v>
      </c>
      <c r="E28" s="155">
        <v>362.75122864153889</v>
      </c>
      <c r="F28" s="155">
        <v>379.23992085251791</v>
      </c>
      <c r="G28" s="155">
        <v>329.77384421958078</v>
      </c>
      <c r="H28" s="155">
        <v>379.23992085251791</v>
      </c>
      <c r="I28" s="155">
        <v>362.75122864153889</v>
      </c>
      <c r="J28" s="155">
        <v>346.26253643055981</v>
      </c>
      <c r="K28" s="155">
        <v>379.23992085251791</v>
      </c>
      <c r="L28" s="155">
        <v>346.26253643055981</v>
      </c>
      <c r="M28" s="155">
        <v>362.75122864153889</v>
      </c>
      <c r="N28" s="155">
        <f>SUM(B28:M28)</f>
        <v>4237.5938982216139</v>
      </c>
    </row>
    <row r="29" spans="1:14" x14ac:dyDescent="0.25">
      <c r="A29" s="154" t="s">
        <v>227</v>
      </c>
      <c r="B29" s="155">
        <v>86.655679620622564</v>
      </c>
      <c r="C29" s="155">
        <v>91.216504863813228</v>
      </c>
      <c r="D29" s="155">
        <v>95.777330107003877</v>
      </c>
      <c r="E29" s="155">
        <v>100.33815535019454</v>
      </c>
      <c r="F29" s="155">
        <v>104.8989805933852</v>
      </c>
      <c r="G29" s="155">
        <v>91.216504863813228</v>
      </c>
      <c r="H29" s="155">
        <v>104.8989805933852</v>
      </c>
      <c r="I29" s="155">
        <v>100.33815535019454</v>
      </c>
      <c r="J29" s="155">
        <v>95.777330107003877</v>
      </c>
      <c r="K29" s="155">
        <v>104.8989805933852</v>
      </c>
      <c r="L29" s="155">
        <v>95.777330107003877</v>
      </c>
      <c r="M29" s="155">
        <v>100.33815535019454</v>
      </c>
      <c r="N29" s="155">
        <f>SUM(B29:M29)</f>
        <v>1172.1320874999999</v>
      </c>
    </row>
    <row r="30" spans="1:14" x14ac:dyDescent="0.25">
      <c r="A30" s="156" t="s">
        <v>228</v>
      </c>
      <c r="B30" s="157">
        <f t="shared" ref="B30:N30" si="7">SUM(B25:B29)</f>
        <v>4339.5071178700809</v>
      </c>
      <c r="C30" s="157">
        <f t="shared" si="7"/>
        <v>4567.902229336928</v>
      </c>
      <c r="D30" s="157">
        <f t="shared" si="7"/>
        <v>4796.2973408037733</v>
      </c>
      <c r="E30" s="157">
        <f t="shared" si="7"/>
        <v>5024.6924522706204</v>
      </c>
      <c r="F30" s="157">
        <f t="shared" si="7"/>
        <v>5253.0875637374656</v>
      </c>
      <c r="G30" s="157">
        <f t="shared" si="7"/>
        <v>4567.902229336928</v>
      </c>
      <c r="H30" s="157">
        <f t="shared" si="7"/>
        <v>5253.0875637374656</v>
      </c>
      <c r="I30" s="157">
        <f t="shared" si="7"/>
        <v>5024.6924522706204</v>
      </c>
      <c r="J30" s="157">
        <f t="shared" si="7"/>
        <v>4796.2973408037733</v>
      </c>
      <c r="K30" s="157">
        <f t="shared" si="7"/>
        <v>5253.0875637374656</v>
      </c>
      <c r="L30" s="157">
        <f t="shared" si="7"/>
        <v>4796.2973408037733</v>
      </c>
      <c r="M30" s="157">
        <f t="shared" si="7"/>
        <v>5024.6924522706204</v>
      </c>
      <c r="N30" s="157">
        <f t="shared" si="7"/>
        <v>58697.543646979531</v>
      </c>
    </row>
    <row r="31" spans="1:14" x14ac:dyDescent="0.25">
      <c r="A31" s="158" t="s">
        <v>197</v>
      </c>
      <c r="B31" s="157">
        <f t="shared" ref="B31:N31" si="8">SUM(B23,B30)</f>
        <v>19919.507117870082</v>
      </c>
      <c r="C31" s="157">
        <f t="shared" si="8"/>
        <v>8647.9022293369271</v>
      </c>
      <c r="D31" s="157">
        <f t="shared" si="8"/>
        <v>7876.2973408037733</v>
      </c>
      <c r="E31" s="157">
        <f t="shared" si="8"/>
        <v>7104.6924522706204</v>
      </c>
      <c r="F31" s="157">
        <f t="shared" si="8"/>
        <v>7333.0875637374656</v>
      </c>
      <c r="G31" s="157">
        <f t="shared" si="8"/>
        <v>8647.9022293369271</v>
      </c>
      <c r="H31" s="157">
        <f t="shared" si="8"/>
        <v>9333.0875637374666</v>
      </c>
      <c r="I31" s="157">
        <f t="shared" si="8"/>
        <v>7104.6924522706204</v>
      </c>
      <c r="J31" s="157">
        <f t="shared" si="8"/>
        <v>6876.2973408037733</v>
      </c>
      <c r="K31" s="157">
        <f t="shared" si="8"/>
        <v>7333.0875637374656</v>
      </c>
      <c r="L31" s="157">
        <f t="shared" si="8"/>
        <v>4876.2973408037733</v>
      </c>
      <c r="M31" s="157">
        <f t="shared" si="8"/>
        <v>5104.6924522706204</v>
      </c>
      <c r="N31" s="157">
        <f t="shared" si="8"/>
        <v>100157.54364697952</v>
      </c>
    </row>
    <row r="32" spans="1:14" x14ac:dyDescent="0.25">
      <c r="A32" s="149" t="s">
        <v>198</v>
      </c>
      <c r="B32" s="150">
        <f t="shared" ref="B32:N32" si="9">B8-B31</f>
        <v>-19919.507117870082</v>
      </c>
      <c r="C32" s="150">
        <f t="shared" si="9"/>
        <v>-8647.9022293369271</v>
      </c>
      <c r="D32" s="150">
        <f t="shared" si="9"/>
        <v>-7876.2973408037733</v>
      </c>
      <c r="E32" s="150">
        <f t="shared" si="9"/>
        <v>-7104.6924522706204</v>
      </c>
      <c r="F32" s="150">
        <f t="shared" si="9"/>
        <v>-7333.0875637374656</v>
      </c>
      <c r="G32" s="150">
        <f t="shared" si="9"/>
        <v>-8647.9022293369271</v>
      </c>
      <c r="H32" s="150">
        <f t="shared" si="9"/>
        <v>-9333.0875637374666</v>
      </c>
      <c r="I32" s="150">
        <f t="shared" si="9"/>
        <v>-7104.6924522706204</v>
      </c>
      <c r="J32" s="150">
        <f t="shared" si="9"/>
        <v>-6876.2973408037733</v>
      </c>
      <c r="K32" s="150">
        <f t="shared" si="9"/>
        <v>-7333.0875637374656</v>
      </c>
      <c r="L32" s="150">
        <f t="shared" si="9"/>
        <v>-4876.2973408037733</v>
      </c>
      <c r="M32" s="150">
        <f t="shared" si="9"/>
        <v>-5104.6924522706204</v>
      </c>
      <c r="N32" s="150">
        <f t="shared" si="9"/>
        <v>-100157.54364697952</v>
      </c>
    </row>
    <row r="33" spans="1:14" x14ac:dyDescent="0.25">
      <c r="A33" s="151" t="s">
        <v>199</v>
      </c>
      <c r="B33" s="152"/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</row>
    <row r="34" spans="1:14" x14ac:dyDescent="0.25">
      <c r="A34" s="153" t="s">
        <v>202</v>
      </c>
      <c r="B34" s="152"/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</row>
    <row r="35" spans="1:14" x14ac:dyDescent="0.25">
      <c r="A35" s="154" t="s">
        <v>332</v>
      </c>
      <c r="B35" s="155">
        <v>0</v>
      </c>
      <c r="C35" s="155">
        <v>0</v>
      </c>
      <c r="D35" s="155">
        <v>0</v>
      </c>
      <c r="E35" s="155">
        <v>0</v>
      </c>
      <c r="F35" s="155">
        <v>0</v>
      </c>
      <c r="G35" s="155">
        <v>0</v>
      </c>
      <c r="H35" s="155">
        <v>0</v>
      </c>
      <c r="I35" s="155">
        <v>0</v>
      </c>
      <c r="J35" s="155">
        <v>0</v>
      </c>
      <c r="K35" s="155">
        <v>0</v>
      </c>
      <c r="L35" s="155">
        <v>0</v>
      </c>
      <c r="M35" s="155">
        <v>0</v>
      </c>
      <c r="N35" s="155">
        <f>SUM(B35:M35)</f>
        <v>0</v>
      </c>
    </row>
    <row r="36" spans="1:14" x14ac:dyDescent="0.25">
      <c r="A36" s="156" t="s">
        <v>203</v>
      </c>
      <c r="B36" s="157">
        <f t="shared" ref="B36:B37" si="10">SUM(B35)</f>
        <v>0</v>
      </c>
      <c r="C36" s="157">
        <f t="shared" ref="C36:N37" si="11">SUM(C35)</f>
        <v>0</v>
      </c>
      <c r="D36" s="157">
        <f t="shared" si="11"/>
        <v>0</v>
      </c>
      <c r="E36" s="157">
        <f t="shared" si="11"/>
        <v>0</v>
      </c>
      <c r="F36" s="157">
        <f t="shared" si="11"/>
        <v>0</v>
      </c>
      <c r="G36" s="157">
        <f t="shared" si="11"/>
        <v>0</v>
      </c>
      <c r="H36" s="157">
        <f t="shared" si="11"/>
        <v>0</v>
      </c>
      <c r="I36" s="157">
        <f t="shared" si="11"/>
        <v>0</v>
      </c>
      <c r="J36" s="157">
        <f t="shared" si="11"/>
        <v>0</v>
      </c>
      <c r="K36" s="157">
        <f t="shared" si="11"/>
        <v>0</v>
      </c>
      <c r="L36" s="157">
        <f t="shared" si="11"/>
        <v>0</v>
      </c>
      <c r="M36" s="157">
        <f t="shared" si="11"/>
        <v>0</v>
      </c>
      <c r="N36" s="157">
        <f t="shared" si="11"/>
        <v>0</v>
      </c>
    </row>
    <row r="37" spans="1:14" x14ac:dyDescent="0.25">
      <c r="A37" s="158" t="s">
        <v>206</v>
      </c>
      <c r="B37" s="157">
        <f t="shared" si="10"/>
        <v>0</v>
      </c>
      <c r="C37" s="157">
        <f t="shared" si="11"/>
        <v>0</v>
      </c>
      <c r="D37" s="157">
        <f t="shared" si="11"/>
        <v>0</v>
      </c>
      <c r="E37" s="157">
        <f t="shared" si="11"/>
        <v>0</v>
      </c>
      <c r="F37" s="157">
        <f t="shared" si="11"/>
        <v>0</v>
      </c>
      <c r="G37" s="157">
        <f t="shared" si="11"/>
        <v>0</v>
      </c>
      <c r="H37" s="157">
        <f t="shared" si="11"/>
        <v>0</v>
      </c>
      <c r="I37" s="157">
        <f t="shared" si="11"/>
        <v>0</v>
      </c>
      <c r="J37" s="157">
        <f t="shared" si="11"/>
        <v>0</v>
      </c>
      <c r="K37" s="157">
        <f t="shared" si="11"/>
        <v>0</v>
      </c>
      <c r="L37" s="157">
        <f t="shared" si="11"/>
        <v>0</v>
      </c>
      <c r="M37" s="157">
        <f t="shared" si="11"/>
        <v>0</v>
      </c>
      <c r="N37" s="157">
        <f t="shared" si="11"/>
        <v>0</v>
      </c>
    </row>
    <row r="38" spans="1:14" x14ac:dyDescent="0.25">
      <c r="A38" s="149" t="s">
        <v>31</v>
      </c>
      <c r="B38" s="150">
        <f t="shared" ref="B38:N38" si="12">B32+B37+0</f>
        <v>-19919.507117870082</v>
      </c>
      <c r="C38" s="150">
        <f t="shared" si="12"/>
        <v>-8647.9022293369271</v>
      </c>
      <c r="D38" s="150">
        <f t="shared" si="12"/>
        <v>-7876.2973408037733</v>
      </c>
      <c r="E38" s="150">
        <f t="shared" si="12"/>
        <v>-7104.6924522706204</v>
      </c>
      <c r="F38" s="150">
        <f t="shared" si="12"/>
        <v>-7333.0875637374656</v>
      </c>
      <c r="G38" s="150">
        <f t="shared" si="12"/>
        <v>-8647.9022293369271</v>
      </c>
      <c r="H38" s="150">
        <f t="shared" si="12"/>
        <v>-9333.0875637374666</v>
      </c>
      <c r="I38" s="150">
        <f t="shared" si="12"/>
        <v>-7104.6924522706204</v>
      </c>
      <c r="J38" s="150">
        <f t="shared" si="12"/>
        <v>-6876.2973408037733</v>
      </c>
      <c r="K38" s="150">
        <f t="shared" si="12"/>
        <v>-7333.0875637374656</v>
      </c>
      <c r="L38" s="150">
        <f t="shared" si="12"/>
        <v>-4876.2973408037733</v>
      </c>
      <c r="M38" s="150">
        <f t="shared" si="12"/>
        <v>-5104.6924522706204</v>
      </c>
      <c r="N38" s="150">
        <f t="shared" si="12"/>
        <v>-100157.54364697952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0F369-CB76-1A4A-9380-D732DD71A0B6}">
  <sheetPr codeName="Sheet9">
    <tabColor rgb="FFFFFF00"/>
  </sheetPr>
  <dimension ref="A1:Y63"/>
  <sheetViews>
    <sheetView topLeftCell="A30" zoomScale="107" workbookViewId="0">
      <selection activeCell="N63" sqref="N63"/>
    </sheetView>
  </sheetViews>
  <sheetFormatPr defaultColWidth="6.5" defaultRowHeight="15.75" x14ac:dyDescent="0.25"/>
  <cols>
    <col min="1" max="1" width="46.125" bestFit="1" customWidth="1"/>
    <col min="2" max="12" width="8" bestFit="1" customWidth="1"/>
    <col min="13" max="13" width="8.75" bestFit="1" customWidth="1"/>
    <col min="14" max="14" width="13.5" bestFit="1" customWidth="1"/>
    <col min="15" max="15" width="24.375" customWidth="1"/>
  </cols>
  <sheetData>
    <row r="1" spans="1:25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25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25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25" ht="18" x14ac:dyDescent="0.25">
      <c r="A4" s="365" t="s">
        <v>63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25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25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25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25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25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25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25" x14ac:dyDescent="0.25">
      <c r="A11" s="154" t="s">
        <v>333</v>
      </c>
      <c r="B11" s="155">
        <v>0</v>
      </c>
      <c r="C11" s="155">
        <v>0</v>
      </c>
      <c r="D11" s="155">
        <v>0</v>
      </c>
      <c r="E11" s="155">
        <v>0</v>
      </c>
      <c r="F11" s="155">
        <v>0</v>
      </c>
      <c r="G11" s="155">
        <v>1000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3000</v>
      </c>
      <c r="N11" s="155">
        <f>SUM(B11:M11)</f>
        <v>4000</v>
      </c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</row>
    <row r="12" spans="1:25" x14ac:dyDescent="0.25">
      <c r="A12" s="154" t="s">
        <v>334</v>
      </c>
      <c r="B12" s="155">
        <v>0</v>
      </c>
      <c r="C12" s="155">
        <v>0</v>
      </c>
      <c r="D12" s="155">
        <v>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9500</v>
      </c>
      <c r="N12" s="155">
        <f t="shared" ref="N12:N41" si="1">SUM(B12:M12)</f>
        <v>9500</v>
      </c>
      <c r="O12" s="174"/>
    </row>
    <row r="13" spans="1:25" x14ac:dyDescent="0.25">
      <c r="A13" s="154" t="s">
        <v>258</v>
      </c>
      <c r="B13" s="155">
        <v>1700</v>
      </c>
      <c r="C13" s="155">
        <v>1700</v>
      </c>
      <c r="D13" s="155">
        <v>1700</v>
      </c>
      <c r="E13" s="155">
        <v>1700</v>
      </c>
      <c r="F13" s="155">
        <v>1700</v>
      </c>
      <c r="G13" s="155">
        <v>1700</v>
      </c>
      <c r="H13" s="155">
        <v>1700</v>
      </c>
      <c r="I13" s="155">
        <v>1700</v>
      </c>
      <c r="J13" s="155">
        <v>1700</v>
      </c>
      <c r="K13" s="155">
        <v>1700</v>
      </c>
      <c r="L13" s="155">
        <v>1700</v>
      </c>
      <c r="M13" s="155">
        <v>1700</v>
      </c>
      <c r="N13" s="155">
        <f t="shared" si="1"/>
        <v>20400</v>
      </c>
      <c r="O13" s="174"/>
    </row>
    <row r="14" spans="1:25" x14ac:dyDescent="0.25">
      <c r="A14" s="154" t="s">
        <v>335</v>
      </c>
      <c r="B14" s="155">
        <v>1000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1000</v>
      </c>
    </row>
    <row r="15" spans="1:25" x14ac:dyDescent="0.25">
      <c r="A15" s="154" t="s">
        <v>336</v>
      </c>
      <c r="B15" s="155">
        <v>1000</v>
      </c>
      <c r="C15" s="155">
        <v>0</v>
      </c>
      <c r="D15" s="155">
        <v>0</v>
      </c>
      <c r="E15" s="155">
        <v>0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si="1"/>
        <v>1000</v>
      </c>
      <c r="O15" s="174"/>
    </row>
    <row r="16" spans="1:25" x14ac:dyDescent="0.25">
      <c r="A16" s="154" t="s">
        <v>27</v>
      </c>
      <c r="B16" s="155">
        <v>0</v>
      </c>
      <c r="C16" s="155">
        <v>1000</v>
      </c>
      <c r="D16" s="155">
        <v>0</v>
      </c>
      <c r="E16" s="155">
        <v>0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si="1"/>
        <v>1000</v>
      </c>
    </row>
    <row r="17" spans="1:14" x14ac:dyDescent="0.25">
      <c r="A17" s="154" t="s">
        <v>337</v>
      </c>
      <c r="B17" s="155">
        <v>0</v>
      </c>
      <c r="C17" s="155">
        <v>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5000</v>
      </c>
      <c r="N17" s="155">
        <f t="shared" si="1"/>
        <v>5000</v>
      </c>
    </row>
    <row r="18" spans="1:14" x14ac:dyDescent="0.25">
      <c r="A18" s="154" t="s">
        <v>212</v>
      </c>
      <c r="B18" s="155">
        <v>2500</v>
      </c>
      <c r="C18" s="155">
        <v>2500</v>
      </c>
      <c r="D18" s="155">
        <v>2500</v>
      </c>
      <c r="E18" s="155">
        <v>2500</v>
      </c>
      <c r="F18" s="155">
        <v>2500</v>
      </c>
      <c r="G18" s="155">
        <v>2500</v>
      </c>
      <c r="H18" s="155">
        <v>2500</v>
      </c>
      <c r="I18" s="155">
        <v>2500</v>
      </c>
      <c r="J18" s="155">
        <v>2500</v>
      </c>
      <c r="K18" s="155">
        <v>2500</v>
      </c>
      <c r="L18" s="155">
        <v>2500</v>
      </c>
      <c r="M18" s="155">
        <v>2500</v>
      </c>
      <c r="N18" s="155">
        <f t="shared" si="1"/>
        <v>30000</v>
      </c>
    </row>
    <row r="19" spans="1:14" x14ac:dyDescent="0.25">
      <c r="A19" s="154" t="s">
        <v>328</v>
      </c>
      <c r="B19" s="155">
        <v>0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1"/>
        <v>0</v>
      </c>
    </row>
    <row r="20" spans="1:14" x14ac:dyDescent="0.25">
      <c r="A20" s="154" t="s">
        <v>329</v>
      </c>
      <c r="B20" s="155">
        <v>1500</v>
      </c>
      <c r="C20" s="155">
        <v>0</v>
      </c>
      <c r="D20" s="155">
        <v>0</v>
      </c>
      <c r="E20" s="155">
        <v>0</v>
      </c>
      <c r="F20" s="155">
        <v>0</v>
      </c>
      <c r="G20" s="155">
        <v>0</v>
      </c>
      <c r="H20" s="155">
        <v>1200</v>
      </c>
      <c r="I20" s="155">
        <v>0</v>
      </c>
      <c r="J20" s="155">
        <v>0</v>
      </c>
      <c r="K20" s="155">
        <v>0</v>
      </c>
      <c r="L20" s="155">
        <v>15000</v>
      </c>
      <c r="M20" s="155">
        <v>0</v>
      </c>
      <c r="N20" s="155">
        <f t="shared" si="1"/>
        <v>17700</v>
      </c>
    </row>
    <row r="21" spans="1:14" x14ac:dyDescent="0.25">
      <c r="A21" s="154" t="s">
        <v>68</v>
      </c>
      <c r="B21" s="155">
        <v>0</v>
      </c>
      <c r="C21" s="155">
        <v>0</v>
      </c>
      <c r="D21" s="155">
        <v>0</v>
      </c>
      <c r="E21" s="155">
        <v>0</v>
      </c>
      <c r="F21" s="155">
        <v>0</v>
      </c>
      <c r="G21" s="155">
        <v>0</v>
      </c>
      <c r="H21" s="155">
        <v>0</v>
      </c>
      <c r="I21" s="155">
        <v>0</v>
      </c>
      <c r="J21" s="155">
        <v>0</v>
      </c>
      <c r="K21" s="155">
        <v>0</v>
      </c>
      <c r="L21" s="155">
        <v>0</v>
      </c>
      <c r="M21" s="155">
        <v>62000</v>
      </c>
      <c r="N21" s="155">
        <f t="shared" si="1"/>
        <v>62000</v>
      </c>
    </row>
    <row r="22" spans="1:14" x14ac:dyDescent="0.25">
      <c r="A22" s="154" t="s">
        <v>214</v>
      </c>
      <c r="B22" s="155">
        <v>2000</v>
      </c>
      <c r="C22" s="155">
        <v>2000</v>
      </c>
      <c r="D22" s="155">
        <v>2000</v>
      </c>
      <c r="E22" s="155">
        <v>2000</v>
      </c>
      <c r="F22" s="155">
        <v>2000</v>
      </c>
      <c r="G22" s="155">
        <v>2000</v>
      </c>
      <c r="H22" s="155">
        <v>2000</v>
      </c>
      <c r="I22" s="155">
        <v>2000</v>
      </c>
      <c r="J22" s="155">
        <v>2000</v>
      </c>
      <c r="K22" s="155">
        <v>2000</v>
      </c>
      <c r="L22" s="155">
        <v>2000</v>
      </c>
      <c r="M22" s="155">
        <v>2000</v>
      </c>
      <c r="N22" s="155">
        <f t="shared" si="1"/>
        <v>24000</v>
      </c>
    </row>
    <row r="23" spans="1:14" x14ac:dyDescent="0.25">
      <c r="A23" s="154" t="s">
        <v>264</v>
      </c>
      <c r="B23" s="155">
        <v>50</v>
      </c>
      <c r="C23" s="155">
        <v>50</v>
      </c>
      <c r="D23" s="155">
        <v>50</v>
      </c>
      <c r="E23" s="155">
        <v>50</v>
      </c>
      <c r="F23" s="155">
        <v>50</v>
      </c>
      <c r="G23" s="155">
        <v>50</v>
      </c>
      <c r="H23" s="155">
        <v>50</v>
      </c>
      <c r="I23" s="155">
        <v>50</v>
      </c>
      <c r="J23" s="155">
        <v>50</v>
      </c>
      <c r="K23" s="155">
        <v>50</v>
      </c>
      <c r="L23" s="155">
        <v>50</v>
      </c>
      <c r="M23" s="155">
        <v>50</v>
      </c>
      <c r="N23" s="155">
        <f t="shared" si="1"/>
        <v>600</v>
      </c>
    </row>
    <row r="24" spans="1:14" x14ac:dyDescent="0.25">
      <c r="A24" s="154" t="s">
        <v>338</v>
      </c>
      <c r="B24" s="155">
        <v>9700</v>
      </c>
      <c r="C24" s="155">
        <v>9700</v>
      </c>
      <c r="D24" s="155">
        <v>9700</v>
      </c>
      <c r="E24" s="155">
        <v>9700</v>
      </c>
      <c r="F24" s="155">
        <v>9700</v>
      </c>
      <c r="G24" s="155">
        <v>9700</v>
      </c>
      <c r="H24" s="155">
        <v>9700</v>
      </c>
      <c r="I24" s="155">
        <v>9700</v>
      </c>
      <c r="J24" s="155">
        <v>9700</v>
      </c>
      <c r="K24" s="155">
        <v>9700</v>
      </c>
      <c r="L24" s="155">
        <v>9700</v>
      </c>
      <c r="M24" s="155">
        <v>9700</v>
      </c>
      <c r="N24" s="155">
        <f t="shared" si="1"/>
        <v>116400</v>
      </c>
    </row>
    <row r="25" spans="1:14" x14ac:dyDescent="0.25">
      <c r="A25" s="154" t="s">
        <v>265</v>
      </c>
      <c r="B25" s="155">
        <v>0</v>
      </c>
      <c r="C25" s="155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5">
        <v>0</v>
      </c>
      <c r="M25" s="155">
        <v>0</v>
      </c>
      <c r="N25" s="155">
        <f t="shared" si="1"/>
        <v>0</v>
      </c>
    </row>
    <row r="26" spans="1:14" x14ac:dyDescent="0.25">
      <c r="A26" s="154" t="s">
        <v>215</v>
      </c>
      <c r="B26" s="155">
        <v>50000</v>
      </c>
      <c r="C26" s="155">
        <v>0</v>
      </c>
      <c r="D26" s="155">
        <v>0</v>
      </c>
      <c r="E26" s="155">
        <v>0</v>
      </c>
      <c r="F26" s="155">
        <v>0</v>
      </c>
      <c r="G26" s="155">
        <v>0</v>
      </c>
      <c r="H26" s="155">
        <v>0</v>
      </c>
      <c r="I26" s="155">
        <v>0</v>
      </c>
      <c r="J26" s="155">
        <v>0</v>
      </c>
      <c r="K26" s="155">
        <v>0</v>
      </c>
      <c r="L26" s="155">
        <v>0</v>
      </c>
      <c r="M26" s="155">
        <v>0</v>
      </c>
      <c r="N26" s="155">
        <f t="shared" si="1"/>
        <v>50000</v>
      </c>
    </row>
    <row r="27" spans="1:14" x14ac:dyDescent="0.25">
      <c r="A27" s="154" t="s">
        <v>237</v>
      </c>
      <c r="B27" s="155">
        <v>0</v>
      </c>
      <c r="C27" s="155">
        <v>0</v>
      </c>
      <c r="D27" s="155">
        <v>0</v>
      </c>
      <c r="E27" s="155">
        <v>0</v>
      </c>
      <c r="F27" s="155">
        <v>0</v>
      </c>
      <c r="G27" s="155">
        <v>0</v>
      </c>
      <c r="H27" s="155">
        <v>0</v>
      </c>
      <c r="I27" s="155">
        <v>0</v>
      </c>
      <c r="J27" s="155">
        <v>0</v>
      </c>
      <c r="K27" s="155">
        <v>0</v>
      </c>
      <c r="L27" s="155">
        <v>0</v>
      </c>
      <c r="M27" s="155">
        <v>0</v>
      </c>
      <c r="N27" s="155">
        <f t="shared" si="1"/>
        <v>0</v>
      </c>
    </row>
    <row r="28" spans="1:14" x14ac:dyDescent="0.25">
      <c r="A28" s="154" t="s">
        <v>330</v>
      </c>
      <c r="B28" s="155">
        <v>60</v>
      </c>
      <c r="C28" s="155">
        <v>60</v>
      </c>
      <c r="D28" s="155">
        <v>1200</v>
      </c>
      <c r="E28" s="155">
        <v>60</v>
      </c>
      <c r="F28" s="155">
        <v>60</v>
      </c>
      <c r="G28" s="155">
        <v>60</v>
      </c>
      <c r="H28" s="155">
        <v>60</v>
      </c>
      <c r="I28" s="155">
        <v>60</v>
      </c>
      <c r="J28" s="155">
        <v>60</v>
      </c>
      <c r="K28" s="155">
        <v>60</v>
      </c>
      <c r="L28" s="155">
        <v>60</v>
      </c>
      <c r="M28" s="155">
        <v>60</v>
      </c>
      <c r="N28" s="155">
        <f t="shared" si="1"/>
        <v>1860</v>
      </c>
    </row>
    <row r="29" spans="1:14" x14ac:dyDescent="0.25">
      <c r="A29" s="154" t="s">
        <v>339</v>
      </c>
      <c r="B29" s="155">
        <v>20</v>
      </c>
      <c r="C29" s="155">
        <v>20</v>
      </c>
      <c r="D29" s="155">
        <v>20</v>
      </c>
      <c r="E29" s="155">
        <v>20</v>
      </c>
      <c r="F29" s="155">
        <v>20</v>
      </c>
      <c r="G29" s="155">
        <v>20</v>
      </c>
      <c r="H29" s="155">
        <v>20</v>
      </c>
      <c r="I29" s="155">
        <v>20</v>
      </c>
      <c r="J29" s="155">
        <v>20</v>
      </c>
      <c r="K29" s="155">
        <v>20</v>
      </c>
      <c r="L29" s="155">
        <v>20</v>
      </c>
      <c r="M29" s="155">
        <v>20</v>
      </c>
      <c r="N29" s="155">
        <f t="shared" si="1"/>
        <v>240</v>
      </c>
    </row>
    <row r="30" spans="1:14" x14ac:dyDescent="0.25">
      <c r="A30" s="154" t="s">
        <v>267</v>
      </c>
      <c r="B30" s="155">
        <v>0</v>
      </c>
      <c r="C30" s="155">
        <v>0</v>
      </c>
      <c r="D30" s="155">
        <v>0</v>
      </c>
      <c r="E30" s="155">
        <v>0</v>
      </c>
      <c r="F30" s="155">
        <v>0</v>
      </c>
      <c r="G30" s="155">
        <v>0</v>
      </c>
      <c r="H30" s="155">
        <v>0</v>
      </c>
      <c r="I30" s="155">
        <v>0</v>
      </c>
      <c r="J30" s="155">
        <v>0</v>
      </c>
      <c r="K30" s="155">
        <v>0</v>
      </c>
      <c r="L30" s="155">
        <v>0</v>
      </c>
      <c r="M30" s="155">
        <v>0</v>
      </c>
      <c r="N30" s="155">
        <f t="shared" si="1"/>
        <v>0</v>
      </c>
    </row>
    <row r="31" spans="1:14" x14ac:dyDescent="0.25">
      <c r="A31" s="154" t="s">
        <v>270</v>
      </c>
      <c r="B31" s="155">
        <v>140</v>
      </c>
      <c r="C31" s="155">
        <v>140</v>
      </c>
      <c r="D31" s="155">
        <v>140</v>
      </c>
      <c r="E31" s="155">
        <v>140</v>
      </c>
      <c r="F31" s="155">
        <v>140</v>
      </c>
      <c r="G31" s="155">
        <v>140</v>
      </c>
      <c r="H31" s="155">
        <v>140</v>
      </c>
      <c r="I31" s="155">
        <v>140</v>
      </c>
      <c r="J31" s="155">
        <v>140</v>
      </c>
      <c r="K31" s="155">
        <v>140</v>
      </c>
      <c r="L31" s="155">
        <v>140</v>
      </c>
      <c r="M31" s="155">
        <v>140</v>
      </c>
      <c r="N31" s="155">
        <f t="shared" si="1"/>
        <v>1680</v>
      </c>
    </row>
    <row r="32" spans="1:14" x14ac:dyDescent="0.25">
      <c r="A32" s="154" t="s">
        <v>238</v>
      </c>
      <c r="B32" s="155">
        <v>0</v>
      </c>
      <c r="C32" s="155">
        <v>0</v>
      </c>
      <c r="D32" s="155">
        <v>0</v>
      </c>
      <c r="E32" s="155">
        <v>0</v>
      </c>
      <c r="F32" s="155">
        <v>0</v>
      </c>
      <c r="G32" s="155">
        <v>0</v>
      </c>
      <c r="H32" s="155">
        <v>0</v>
      </c>
      <c r="I32" s="155">
        <v>0</v>
      </c>
      <c r="J32" s="155">
        <v>50</v>
      </c>
      <c r="K32" s="155">
        <v>0</v>
      </c>
      <c r="L32" s="155">
        <v>0</v>
      </c>
      <c r="M32" s="155">
        <v>0</v>
      </c>
      <c r="N32" s="155">
        <f t="shared" si="1"/>
        <v>50</v>
      </c>
    </row>
    <row r="33" spans="1:15" x14ac:dyDescent="0.25">
      <c r="A33" s="154" t="s">
        <v>331</v>
      </c>
      <c r="B33" s="155">
        <v>57200</v>
      </c>
      <c r="C33" s="155">
        <v>0</v>
      </c>
      <c r="D33" s="155">
        <v>0</v>
      </c>
      <c r="E33" s="155">
        <v>0</v>
      </c>
      <c r="F33" s="155">
        <v>0</v>
      </c>
      <c r="G33" s="155">
        <v>0</v>
      </c>
      <c r="H33" s="155">
        <v>0</v>
      </c>
      <c r="I33" s="155">
        <v>0</v>
      </c>
      <c r="J33" s="155">
        <v>0</v>
      </c>
      <c r="K33" s="155">
        <v>0</v>
      </c>
      <c r="L33" s="155">
        <v>0</v>
      </c>
      <c r="M33" s="155">
        <v>0</v>
      </c>
      <c r="N33" s="155">
        <f t="shared" si="1"/>
        <v>57200</v>
      </c>
    </row>
    <row r="34" spans="1:15" x14ac:dyDescent="0.25">
      <c r="A34" s="154" t="s">
        <v>340</v>
      </c>
      <c r="B34" s="155">
        <v>0</v>
      </c>
      <c r="C34" s="155">
        <v>0</v>
      </c>
      <c r="D34" s="155">
        <v>0</v>
      </c>
      <c r="E34" s="155">
        <v>0</v>
      </c>
      <c r="F34" s="155">
        <v>0</v>
      </c>
      <c r="G34" s="155">
        <v>0</v>
      </c>
      <c r="H34" s="155">
        <v>0</v>
      </c>
      <c r="I34" s="155">
        <v>0</v>
      </c>
      <c r="J34" s="155">
        <v>22000</v>
      </c>
      <c r="K34" s="155">
        <v>0</v>
      </c>
      <c r="L34" s="155">
        <v>0</v>
      </c>
      <c r="M34" s="155">
        <v>0</v>
      </c>
      <c r="N34" s="155">
        <f t="shared" si="1"/>
        <v>22000</v>
      </c>
    </row>
    <row r="35" spans="1:15" x14ac:dyDescent="0.25">
      <c r="A35" s="154" t="s">
        <v>341</v>
      </c>
      <c r="B35" s="155">
        <v>0</v>
      </c>
      <c r="C35" s="155">
        <v>0</v>
      </c>
      <c r="D35" s="155">
        <v>0</v>
      </c>
      <c r="E35" s="155">
        <v>0</v>
      </c>
      <c r="F35" s="155">
        <v>6000</v>
      </c>
      <c r="G35" s="155">
        <v>0</v>
      </c>
      <c r="H35" s="155">
        <v>0</v>
      </c>
      <c r="I35" s="155">
        <v>0</v>
      </c>
      <c r="J35" s="155">
        <v>0</v>
      </c>
      <c r="K35" s="155">
        <v>0</v>
      </c>
      <c r="L35" s="155">
        <v>0</v>
      </c>
      <c r="M35" s="155">
        <v>0</v>
      </c>
      <c r="N35" s="155">
        <f t="shared" si="1"/>
        <v>6000</v>
      </c>
      <c r="O35" s="174"/>
    </row>
    <row r="36" spans="1:15" x14ac:dyDescent="0.25">
      <c r="A36" s="154" t="s">
        <v>342</v>
      </c>
      <c r="B36" s="155">
        <v>0</v>
      </c>
      <c r="C36" s="155">
        <v>0</v>
      </c>
      <c r="D36" s="155">
        <v>0</v>
      </c>
      <c r="E36" s="155">
        <v>0</v>
      </c>
      <c r="F36" s="155">
        <v>0</v>
      </c>
      <c r="G36" s="155">
        <v>0</v>
      </c>
      <c r="H36" s="155">
        <v>0</v>
      </c>
      <c r="I36" s="155">
        <v>0</v>
      </c>
      <c r="J36" s="155">
        <v>0</v>
      </c>
      <c r="K36" s="155">
        <v>0</v>
      </c>
      <c r="L36" s="155">
        <v>0</v>
      </c>
      <c r="M36" s="155">
        <v>0</v>
      </c>
      <c r="N36" s="155">
        <f t="shared" si="1"/>
        <v>0</v>
      </c>
    </row>
    <row r="37" spans="1:15" x14ac:dyDescent="0.25">
      <c r="A37" s="154" t="s">
        <v>274</v>
      </c>
      <c r="B37" s="155">
        <v>40</v>
      </c>
      <c r="C37" s="155">
        <v>40</v>
      </c>
      <c r="D37" s="155">
        <v>40</v>
      </c>
      <c r="E37" s="155">
        <v>40</v>
      </c>
      <c r="F37" s="155">
        <v>80</v>
      </c>
      <c r="G37" s="155">
        <v>40</v>
      </c>
      <c r="H37" s="155">
        <v>40</v>
      </c>
      <c r="I37" s="155">
        <v>40</v>
      </c>
      <c r="J37" s="155">
        <v>40</v>
      </c>
      <c r="K37" s="155">
        <v>40</v>
      </c>
      <c r="L37" s="155">
        <v>40</v>
      </c>
      <c r="M37" s="155">
        <v>40</v>
      </c>
      <c r="N37" s="155">
        <f t="shared" si="1"/>
        <v>520</v>
      </c>
      <c r="O37" s="174"/>
    </row>
    <row r="38" spans="1:15" x14ac:dyDescent="0.25">
      <c r="A38" s="154" t="s">
        <v>219</v>
      </c>
      <c r="B38" s="155">
        <v>136.27000000000001</v>
      </c>
      <c r="C38" s="155">
        <v>136.27000000000001</v>
      </c>
      <c r="D38" s="155">
        <v>136.27000000000001</v>
      </c>
      <c r="E38" s="155">
        <v>136.27000000000001</v>
      </c>
      <c r="F38" s="155">
        <v>136.27000000000001</v>
      </c>
      <c r="G38" s="155">
        <v>136.27000000000001</v>
      </c>
      <c r="H38" s="155">
        <v>136.27000000000001</v>
      </c>
      <c r="I38" s="155">
        <v>136.27000000000001</v>
      </c>
      <c r="J38" s="155">
        <v>136.27000000000001</v>
      </c>
      <c r="K38" s="155">
        <v>136.27000000000001</v>
      </c>
      <c r="L38" s="155">
        <v>136.27000000000001</v>
      </c>
      <c r="M38" s="155">
        <v>136.27000000000001</v>
      </c>
      <c r="N38" s="155">
        <f t="shared" si="1"/>
        <v>1635.24</v>
      </c>
    </row>
    <row r="39" spans="1:15" x14ac:dyDescent="0.25">
      <c r="A39" s="154" t="s">
        <v>220</v>
      </c>
      <c r="B39" s="155">
        <v>1674.06</v>
      </c>
      <c r="C39" s="155">
        <v>1674.06</v>
      </c>
      <c r="D39" s="155">
        <v>1674.06</v>
      </c>
      <c r="E39" s="155">
        <v>1674.06</v>
      </c>
      <c r="F39" s="155">
        <v>1674.06</v>
      </c>
      <c r="G39" s="155">
        <v>1674.06</v>
      </c>
      <c r="H39" s="155">
        <v>1674.06</v>
      </c>
      <c r="I39" s="155">
        <v>1674.06</v>
      </c>
      <c r="J39" s="155">
        <v>1674.06</v>
      </c>
      <c r="K39" s="155">
        <v>1674.06</v>
      </c>
      <c r="L39" s="155">
        <v>1674.06</v>
      </c>
      <c r="M39" s="155">
        <v>1674.06</v>
      </c>
      <c r="N39" s="155">
        <f t="shared" si="1"/>
        <v>20088.72</v>
      </c>
    </row>
    <row r="40" spans="1:15" x14ac:dyDescent="0.25">
      <c r="A40" s="154" t="s">
        <v>275</v>
      </c>
      <c r="B40" s="155">
        <v>133.36000000000001</v>
      </c>
      <c r="C40" s="155">
        <v>133.36000000000001</v>
      </c>
      <c r="D40" s="155">
        <v>133.36000000000001</v>
      </c>
      <c r="E40" s="155">
        <v>133.36000000000001</v>
      </c>
      <c r="F40" s="155">
        <v>133.36000000000001</v>
      </c>
      <c r="G40" s="155">
        <v>133.36000000000001</v>
      </c>
      <c r="H40" s="155">
        <v>133.36000000000001</v>
      </c>
      <c r="I40" s="155">
        <v>133.36000000000001</v>
      </c>
      <c r="J40" s="155">
        <v>133.36000000000001</v>
      </c>
      <c r="K40" s="155">
        <v>133.36000000000001</v>
      </c>
      <c r="L40" s="155">
        <v>133.36000000000001</v>
      </c>
      <c r="M40" s="155">
        <v>133.36000000000001</v>
      </c>
      <c r="N40" s="155">
        <f t="shared" si="1"/>
        <v>1600.3200000000006</v>
      </c>
    </row>
    <row r="41" spans="1:15" x14ac:dyDescent="0.25">
      <c r="A41" s="154" t="s">
        <v>221</v>
      </c>
      <c r="B41" s="155">
        <v>2515.44</v>
      </c>
      <c r="C41" s="155">
        <v>2515.44</v>
      </c>
      <c r="D41" s="155">
        <v>2515.44</v>
      </c>
      <c r="E41" s="155">
        <v>2515.44</v>
      </c>
      <c r="F41" s="155">
        <v>2515.44</v>
      </c>
      <c r="G41" s="155">
        <v>2515.44</v>
      </c>
      <c r="H41" s="155">
        <v>2515.44</v>
      </c>
      <c r="I41" s="155">
        <v>2515.44</v>
      </c>
      <c r="J41" s="155">
        <v>2515.44</v>
      </c>
      <c r="K41" s="155">
        <v>2515.44</v>
      </c>
      <c r="L41" s="155">
        <v>2515.44</v>
      </c>
      <c r="M41" s="155">
        <v>2515.44</v>
      </c>
      <c r="N41" s="155">
        <f t="shared" si="1"/>
        <v>30185.279999999995</v>
      </c>
    </row>
    <row r="42" spans="1:15" x14ac:dyDescent="0.25">
      <c r="A42" s="156" t="s">
        <v>196</v>
      </c>
      <c r="B42" s="157">
        <f t="shared" ref="B42:N42" si="2">SUM(B11:B41)</f>
        <v>131369.13</v>
      </c>
      <c r="C42" s="157">
        <f t="shared" si="2"/>
        <v>21669.13</v>
      </c>
      <c r="D42" s="157">
        <f t="shared" si="2"/>
        <v>21809.13</v>
      </c>
      <c r="E42" s="157">
        <f t="shared" si="2"/>
        <v>20669.13</v>
      </c>
      <c r="F42" s="157">
        <f t="shared" si="2"/>
        <v>26709.13</v>
      </c>
      <c r="G42" s="157">
        <f t="shared" si="2"/>
        <v>21669.13</v>
      </c>
      <c r="H42" s="157">
        <f t="shared" si="2"/>
        <v>21869.13</v>
      </c>
      <c r="I42" s="157">
        <f t="shared" si="2"/>
        <v>20669.13</v>
      </c>
      <c r="J42" s="157">
        <f t="shared" si="2"/>
        <v>42719.13</v>
      </c>
      <c r="K42" s="157">
        <f t="shared" si="2"/>
        <v>20669.13</v>
      </c>
      <c r="L42" s="157">
        <f t="shared" si="2"/>
        <v>35669.130000000005</v>
      </c>
      <c r="M42" s="157">
        <f t="shared" si="2"/>
        <v>100169.13</v>
      </c>
      <c r="N42" s="157">
        <f t="shared" si="2"/>
        <v>485659.55999999994</v>
      </c>
    </row>
    <row r="43" spans="1:15" x14ac:dyDescent="0.25">
      <c r="A43" s="158" t="s">
        <v>197</v>
      </c>
      <c r="B43" s="157">
        <f t="shared" ref="B43:N43" si="3">SUM(B42)</f>
        <v>131369.13</v>
      </c>
      <c r="C43" s="157">
        <f t="shared" ref="C43:M43" si="4">SUM(C42)</f>
        <v>21669.13</v>
      </c>
      <c r="D43" s="157">
        <f t="shared" si="4"/>
        <v>21809.13</v>
      </c>
      <c r="E43" s="157">
        <f t="shared" si="4"/>
        <v>20669.13</v>
      </c>
      <c r="F43" s="157">
        <f t="shared" si="4"/>
        <v>26709.13</v>
      </c>
      <c r="G43" s="157">
        <f t="shared" si="4"/>
        <v>21669.13</v>
      </c>
      <c r="H43" s="157">
        <f t="shared" si="4"/>
        <v>21869.13</v>
      </c>
      <c r="I43" s="157">
        <f t="shared" si="4"/>
        <v>20669.13</v>
      </c>
      <c r="J43" s="157">
        <f t="shared" si="4"/>
        <v>42719.13</v>
      </c>
      <c r="K43" s="157">
        <f t="shared" si="4"/>
        <v>20669.13</v>
      </c>
      <c r="L43" s="157">
        <f t="shared" si="4"/>
        <v>35669.130000000005</v>
      </c>
      <c r="M43" s="157">
        <f t="shared" si="4"/>
        <v>100169.13</v>
      </c>
      <c r="N43" s="157">
        <f t="shared" si="3"/>
        <v>485659.55999999994</v>
      </c>
    </row>
    <row r="44" spans="1:15" x14ac:dyDescent="0.25">
      <c r="A44" s="153" t="s">
        <v>222</v>
      </c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</row>
    <row r="45" spans="1:15" x14ac:dyDescent="0.25">
      <c r="A45" s="154" t="s">
        <v>223</v>
      </c>
      <c r="B45" s="155">
        <v>1853.707793774319</v>
      </c>
      <c r="C45" s="155">
        <v>1951.2713618677042</v>
      </c>
      <c r="D45" s="155">
        <v>2048.8349299610895</v>
      </c>
      <c r="E45" s="155">
        <v>2146.3984980544747</v>
      </c>
      <c r="F45" s="155">
        <v>2243.9620661478598</v>
      </c>
      <c r="G45" s="155">
        <v>1951.2713618677042</v>
      </c>
      <c r="H45" s="155">
        <v>2243.9620661478598</v>
      </c>
      <c r="I45" s="155">
        <v>2146.3984980544747</v>
      </c>
      <c r="J45" s="155">
        <v>2048.8349299610895</v>
      </c>
      <c r="K45" s="155">
        <v>2243.9620661478598</v>
      </c>
      <c r="L45" s="155">
        <v>2048.8349299610895</v>
      </c>
      <c r="M45" s="155">
        <v>2504.3833980544746</v>
      </c>
      <c r="N45" s="155">
        <f t="shared" ref="N45:N49" si="5">SUM(B45:M45)</f>
        <v>25431.821899999995</v>
      </c>
    </row>
    <row r="46" spans="1:15" x14ac:dyDescent="0.25">
      <c r="A46" s="154" t="s">
        <v>224</v>
      </c>
      <c r="B46" s="155">
        <v>233.49545580475927</v>
      </c>
      <c r="C46" s="155">
        <v>245.78469032079923</v>
      </c>
      <c r="D46" s="155">
        <v>258.07392483683918</v>
      </c>
      <c r="E46" s="155">
        <v>270.36315935287917</v>
      </c>
      <c r="F46" s="155">
        <v>282.65239386891909</v>
      </c>
      <c r="G46" s="155">
        <v>245.78469032079923</v>
      </c>
      <c r="H46" s="155">
        <v>282.65239386891909</v>
      </c>
      <c r="I46" s="155">
        <v>270.36315935287917</v>
      </c>
      <c r="J46" s="155">
        <v>258.07392483683918</v>
      </c>
      <c r="K46" s="155">
        <v>282.65239386891909</v>
      </c>
      <c r="L46" s="155">
        <v>258.07392483683918</v>
      </c>
      <c r="M46" s="155">
        <v>329.4306678528792</v>
      </c>
      <c r="N46" s="155">
        <f t="shared" si="5"/>
        <v>3217.4007791222698</v>
      </c>
    </row>
    <row r="47" spans="1:15" x14ac:dyDescent="0.25">
      <c r="A47" s="154" t="s">
        <v>225</v>
      </c>
      <c r="B47" s="155">
        <v>19.642129992927288</v>
      </c>
      <c r="C47" s="155">
        <v>20.675926308344515</v>
      </c>
      <c r="D47" s="155">
        <v>21.709722623761738</v>
      </c>
      <c r="E47" s="155">
        <v>22.743518939178966</v>
      </c>
      <c r="F47" s="155">
        <v>23.777315254596193</v>
      </c>
      <c r="G47" s="155">
        <v>20.675926308344515</v>
      </c>
      <c r="H47" s="155">
        <v>23.777315254596193</v>
      </c>
      <c r="I47" s="155">
        <v>22.743518939178966</v>
      </c>
      <c r="J47" s="155">
        <v>21.709722623761738</v>
      </c>
      <c r="K47" s="155">
        <v>23.777315254596193</v>
      </c>
      <c r="L47" s="155">
        <v>21.709722623761738</v>
      </c>
      <c r="M47" s="155">
        <v>22.743518939178966</v>
      </c>
      <c r="N47" s="155">
        <f t="shared" si="5"/>
        <v>265.685653062227</v>
      </c>
    </row>
    <row r="48" spans="1:15" x14ac:dyDescent="0.25">
      <c r="A48" s="154" t="s">
        <v>226</v>
      </c>
      <c r="B48" s="155">
        <v>227.06364221577445</v>
      </c>
      <c r="C48" s="155">
        <v>176.36014970081521</v>
      </c>
      <c r="D48" s="155">
        <v>185.17815718585598</v>
      </c>
      <c r="E48" s="155">
        <v>193.99616467089675</v>
      </c>
      <c r="F48" s="155">
        <v>202.81417215593748</v>
      </c>
      <c r="G48" s="155">
        <v>176.36014970081521</v>
      </c>
      <c r="H48" s="155">
        <v>202.81417215593748</v>
      </c>
      <c r="I48" s="155">
        <v>193.99616467089675</v>
      </c>
      <c r="J48" s="155">
        <v>185.17815718585598</v>
      </c>
      <c r="K48" s="155">
        <v>202.81417215593748</v>
      </c>
      <c r="L48" s="155">
        <v>185.17815718585598</v>
      </c>
      <c r="M48" s="155">
        <v>193.99616467089675</v>
      </c>
      <c r="N48" s="155">
        <f t="shared" si="5"/>
        <v>2325.7494236554753</v>
      </c>
    </row>
    <row r="49" spans="1:14" x14ac:dyDescent="0.25">
      <c r="A49" s="154" t="s">
        <v>227</v>
      </c>
      <c r="B49" s="155">
        <v>72.608194844357982</v>
      </c>
      <c r="C49" s="155">
        <v>48.781784046692614</v>
      </c>
      <c r="D49" s="155">
        <v>51.220873249027242</v>
      </c>
      <c r="E49" s="155">
        <v>53.659962451361878</v>
      </c>
      <c r="F49" s="155">
        <v>56.099051653696506</v>
      </c>
      <c r="G49" s="155">
        <v>48.781784046692614</v>
      </c>
      <c r="H49" s="155">
        <v>56.099051653696506</v>
      </c>
      <c r="I49" s="155">
        <v>53.659962451361878</v>
      </c>
      <c r="J49" s="155">
        <v>51.220873249027242</v>
      </c>
      <c r="K49" s="155">
        <v>56.099051653696506</v>
      </c>
      <c r="L49" s="155">
        <v>51.220873249027242</v>
      </c>
      <c r="M49" s="155">
        <v>53.659962451361878</v>
      </c>
      <c r="N49" s="155">
        <f t="shared" si="5"/>
        <v>653.11142500000005</v>
      </c>
    </row>
    <row r="50" spans="1:14" x14ac:dyDescent="0.25">
      <c r="A50" s="156" t="s">
        <v>228</v>
      </c>
      <c r="B50" s="157">
        <f t="shared" ref="B50:N50" si="6">SUM(B45:B49)</f>
        <v>2406.5172166321381</v>
      </c>
      <c r="C50" s="157">
        <f t="shared" si="6"/>
        <v>2442.8739122443562</v>
      </c>
      <c r="D50" s="157">
        <f t="shared" si="6"/>
        <v>2565.0176078565732</v>
      </c>
      <c r="E50" s="157">
        <f t="shared" si="6"/>
        <v>2687.1613034687912</v>
      </c>
      <c r="F50" s="157">
        <f t="shared" si="6"/>
        <v>2809.3049990810086</v>
      </c>
      <c r="G50" s="157">
        <f t="shared" si="6"/>
        <v>2442.8739122443562</v>
      </c>
      <c r="H50" s="157">
        <f t="shared" si="6"/>
        <v>2809.3049990810086</v>
      </c>
      <c r="I50" s="157">
        <f t="shared" si="6"/>
        <v>2687.1613034687912</v>
      </c>
      <c r="J50" s="157">
        <f t="shared" si="6"/>
        <v>2565.0176078565732</v>
      </c>
      <c r="K50" s="157">
        <f t="shared" si="6"/>
        <v>2809.3049990810086</v>
      </c>
      <c r="L50" s="157">
        <f t="shared" si="6"/>
        <v>2565.0176078565732</v>
      </c>
      <c r="M50" s="157">
        <f t="shared" si="6"/>
        <v>3104.2137119687914</v>
      </c>
      <c r="N50" s="157">
        <f t="shared" si="6"/>
        <v>31893.769180839965</v>
      </c>
    </row>
    <row r="51" spans="1:14" x14ac:dyDescent="0.25">
      <c r="A51" s="158" t="s">
        <v>197</v>
      </c>
      <c r="B51" s="157">
        <f t="shared" ref="B51:N51" si="7">SUM(B43,B50)</f>
        <v>133775.64721663215</v>
      </c>
      <c r="C51" s="157">
        <f t="shared" si="7"/>
        <v>24112.003912244356</v>
      </c>
      <c r="D51" s="157">
        <f t="shared" si="7"/>
        <v>24374.147607856576</v>
      </c>
      <c r="E51" s="157">
        <f t="shared" si="7"/>
        <v>23356.291303468792</v>
      </c>
      <c r="F51" s="157">
        <f t="shared" si="7"/>
        <v>29518.434999081008</v>
      </c>
      <c r="G51" s="157">
        <f t="shared" si="7"/>
        <v>24112.003912244356</v>
      </c>
      <c r="H51" s="157">
        <f t="shared" si="7"/>
        <v>24678.434999081008</v>
      </c>
      <c r="I51" s="157">
        <f t="shared" si="7"/>
        <v>23356.291303468792</v>
      </c>
      <c r="J51" s="157">
        <f t="shared" si="7"/>
        <v>45284.147607856568</v>
      </c>
      <c r="K51" s="157">
        <f t="shared" si="7"/>
        <v>23478.434999081008</v>
      </c>
      <c r="L51" s="157">
        <f t="shared" si="7"/>
        <v>38234.147607856576</v>
      </c>
      <c r="M51" s="157">
        <f t="shared" si="7"/>
        <v>103273.3437119688</v>
      </c>
      <c r="N51" s="157">
        <f t="shared" si="7"/>
        <v>517553.32918083988</v>
      </c>
    </row>
    <row r="52" spans="1:14" x14ac:dyDescent="0.25">
      <c r="A52" s="149" t="s">
        <v>198</v>
      </c>
      <c r="B52" s="150">
        <f>-B51</f>
        <v>-133775.64721663215</v>
      </c>
      <c r="C52" s="150">
        <f t="shared" ref="C52:N52" si="8">-C51</f>
        <v>-24112.003912244356</v>
      </c>
      <c r="D52" s="150">
        <f t="shared" si="8"/>
        <v>-24374.147607856576</v>
      </c>
      <c r="E52" s="150">
        <f t="shared" si="8"/>
        <v>-23356.291303468792</v>
      </c>
      <c r="F52" s="150">
        <f t="shared" si="8"/>
        <v>-29518.434999081008</v>
      </c>
      <c r="G52" s="150">
        <f t="shared" si="8"/>
        <v>-24112.003912244356</v>
      </c>
      <c r="H52" s="150">
        <f t="shared" si="8"/>
        <v>-24678.434999081008</v>
      </c>
      <c r="I52" s="150">
        <f t="shared" si="8"/>
        <v>-23356.291303468792</v>
      </c>
      <c r="J52" s="150">
        <f t="shared" si="8"/>
        <v>-45284.147607856568</v>
      </c>
      <c r="K52" s="150">
        <f t="shared" si="8"/>
        <v>-23478.434999081008</v>
      </c>
      <c r="L52" s="150">
        <f t="shared" si="8"/>
        <v>-38234.147607856576</v>
      </c>
      <c r="M52" s="150">
        <f t="shared" si="8"/>
        <v>-103273.3437119688</v>
      </c>
      <c r="N52" s="150">
        <f t="shared" si="8"/>
        <v>-517553.32918083988</v>
      </c>
    </row>
    <row r="53" spans="1:14" hidden="1" x14ac:dyDescent="0.25">
      <c r="A53" s="151" t="s">
        <v>199</v>
      </c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</row>
    <row r="54" spans="1:14" hidden="1" x14ac:dyDescent="0.25">
      <c r="A54" s="153" t="s">
        <v>202</v>
      </c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</row>
    <row r="55" spans="1:14" hidden="1" x14ac:dyDescent="0.25">
      <c r="A55" s="154" t="s">
        <v>343</v>
      </c>
      <c r="B55" s="155">
        <v>0</v>
      </c>
      <c r="C55" s="155">
        <v>0</v>
      </c>
      <c r="D55" s="155">
        <v>0</v>
      </c>
      <c r="E55" s="155">
        <v>0</v>
      </c>
      <c r="F55" s="155">
        <v>0</v>
      </c>
      <c r="G55" s="155">
        <v>0</v>
      </c>
      <c r="H55" s="155">
        <v>0</v>
      </c>
      <c r="I55" s="155">
        <v>0</v>
      </c>
      <c r="J55" s="155">
        <v>0</v>
      </c>
      <c r="K55" s="155">
        <v>0</v>
      </c>
      <c r="L55" s="155">
        <v>0</v>
      </c>
      <c r="M55" s="155">
        <v>0</v>
      </c>
      <c r="N55" s="155">
        <v>0</v>
      </c>
    </row>
    <row r="56" spans="1:14" ht="11.25" hidden="1" customHeight="1" x14ac:dyDescent="0.25">
      <c r="A56" s="156" t="s">
        <v>203</v>
      </c>
      <c r="B56" s="157">
        <f t="shared" ref="B56:B57" si="9">SUM(B55)</f>
        <v>0</v>
      </c>
      <c r="C56" s="157">
        <f t="shared" ref="C56:N57" si="10">SUM(C55)</f>
        <v>0</v>
      </c>
      <c r="D56" s="157">
        <f t="shared" si="10"/>
        <v>0</v>
      </c>
      <c r="E56" s="157">
        <f t="shared" si="10"/>
        <v>0</v>
      </c>
      <c r="F56" s="157">
        <f t="shared" si="10"/>
        <v>0</v>
      </c>
      <c r="G56" s="157">
        <f t="shared" si="10"/>
        <v>0</v>
      </c>
      <c r="H56" s="157">
        <f t="shared" si="10"/>
        <v>0</v>
      </c>
      <c r="I56" s="157">
        <f t="shared" si="10"/>
        <v>0</v>
      </c>
      <c r="J56" s="157">
        <f t="shared" si="10"/>
        <v>0</v>
      </c>
      <c r="K56" s="157">
        <f t="shared" si="10"/>
        <v>0</v>
      </c>
      <c r="L56" s="157">
        <f t="shared" si="10"/>
        <v>0</v>
      </c>
      <c r="M56" s="157">
        <f t="shared" si="10"/>
        <v>0</v>
      </c>
      <c r="N56" s="157">
        <f t="shared" si="10"/>
        <v>0</v>
      </c>
    </row>
    <row r="57" spans="1:14" ht="11.25" hidden="1" customHeight="1" x14ac:dyDescent="0.25">
      <c r="A57" s="158" t="s">
        <v>206</v>
      </c>
      <c r="B57" s="157">
        <f t="shared" si="9"/>
        <v>0</v>
      </c>
      <c r="C57" s="157">
        <f t="shared" si="10"/>
        <v>0</v>
      </c>
      <c r="D57" s="157">
        <f t="shared" si="10"/>
        <v>0</v>
      </c>
      <c r="E57" s="157">
        <f t="shared" si="10"/>
        <v>0</v>
      </c>
      <c r="F57" s="157">
        <f t="shared" si="10"/>
        <v>0</v>
      </c>
      <c r="G57" s="157">
        <f t="shared" si="10"/>
        <v>0</v>
      </c>
      <c r="H57" s="157">
        <f t="shared" si="10"/>
        <v>0</v>
      </c>
      <c r="I57" s="157">
        <f t="shared" si="10"/>
        <v>0</v>
      </c>
      <c r="J57" s="157">
        <f t="shared" si="10"/>
        <v>0</v>
      </c>
      <c r="K57" s="157">
        <f t="shared" si="10"/>
        <v>0</v>
      </c>
      <c r="L57" s="157">
        <f t="shared" si="10"/>
        <v>0</v>
      </c>
      <c r="M57" s="157">
        <f t="shared" si="10"/>
        <v>0</v>
      </c>
      <c r="N57" s="157">
        <f t="shared" si="10"/>
        <v>0</v>
      </c>
    </row>
    <row r="58" spans="1:14" ht="11.25" hidden="1" customHeight="1" x14ac:dyDescent="0.25">
      <c r="A58" s="149" t="s">
        <v>31</v>
      </c>
      <c r="B58" s="150">
        <f t="shared" ref="B58:N58" si="11">B52+B57+0</f>
        <v>-133775.64721663215</v>
      </c>
      <c r="C58" s="150">
        <f t="shared" si="11"/>
        <v>-24112.003912244356</v>
      </c>
      <c r="D58" s="150">
        <f t="shared" si="11"/>
        <v>-24374.147607856576</v>
      </c>
      <c r="E58" s="150">
        <f t="shared" si="11"/>
        <v>-23356.291303468792</v>
      </c>
      <c r="F58" s="150">
        <f t="shared" si="11"/>
        <v>-29518.434999081008</v>
      </c>
      <c r="G58" s="150">
        <f t="shared" si="11"/>
        <v>-24112.003912244356</v>
      </c>
      <c r="H58" s="150">
        <f t="shared" si="11"/>
        <v>-24678.434999081008</v>
      </c>
      <c r="I58" s="150">
        <f t="shared" si="11"/>
        <v>-23356.291303468792</v>
      </c>
      <c r="J58" s="150">
        <f t="shared" si="11"/>
        <v>-45284.147607856568</v>
      </c>
      <c r="K58" s="150">
        <f t="shared" si="11"/>
        <v>-23478.434999081008</v>
      </c>
      <c r="L58" s="150">
        <f t="shared" si="11"/>
        <v>-38234.147607856576</v>
      </c>
      <c r="M58" s="150">
        <f t="shared" si="11"/>
        <v>-103273.3437119688</v>
      </c>
      <c r="N58" s="150">
        <f t="shared" si="11"/>
        <v>-517553.32918083988</v>
      </c>
    </row>
    <row r="59" spans="1:14" ht="11.25" hidden="1" customHeight="1" x14ac:dyDescent="0.25"/>
    <row r="60" spans="1:14" ht="11.25" hidden="1" customHeight="1" x14ac:dyDescent="0.25"/>
    <row r="61" spans="1:14" ht="11.25" hidden="1" customHeight="1" x14ac:dyDescent="0.25"/>
    <row r="62" spans="1:14" ht="11.25" hidden="1" customHeight="1" x14ac:dyDescent="0.25"/>
    <row r="63" spans="1:14" x14ac:dyDescent="0.25">
      <c r="N63" s="163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4CCBE-56A2-7F4B-8EFA-9DC4F2DEAFC2}">
  <sheetPr codeName="Sheet10">
    <tabColor rgb="FFFFFF00"/>
  </sheetPr>
  <dimension ref="A1:N30"/>
  <sheetViews>
    <sheetView workbookViewId="0">
      <selection activeCell="P22" sqref="P22"/>
    </sheetView>
  </sheetViews>
  <sheetFormatPr defaultColWidth="6.5" defaultRowHeight="15.75" x14ac:dyDescent="0.25"/>
  <cols>
    <col min="1" max="1" width="48.875" bestFit="1" customWidth="1"/>
    <col min="2" max="13" width="7.25" bestFit="1" customWidth="1"/>
    <col min="14" max="14" width="9.875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70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258</v>
      </c>
      <c r="B11" s="155">
        <v>30</v>
      </c>
      <c r="C11" s="155">
        <v>0</v>
      </c>
      <c r="D11" s="155">
        <v>0</v>
      </c>
      <c r="E11" s="155">
        <v>0</v>
      </c>
      <c r="F11" s="155">
        <v>0</v>
      </c>
      <c r="G11" s="155">
        <v>0</v>
      </c>
      <c r="H11" s="155">
        <v>130</v>
      </c>
      <c r="I11" s="155">
        <v>0</v>
      </c>
      <c r="J11" s="155">
        <v>240</v>
      </c>
      <c r="K11" s="155">
        <v>0</v>
      </c>
      <c r="L11" s="155">
        <v>0</v>
      </c>
      <c r="M11" s="155">
        <v>0</v>
      </c>
      <c r="N11" s="155">
        <f t="shared" ref="N11:N19" si="1">SUM(B11:M11)</f>
        <v>400</v>
      </c>
    </row>
    <row r="12" spans="1:14" x14ac:dyDescent="0.25">
      <c r="A12" s="154" t="s">
        <v>214</v>
      </c>
      <c r="B12" s="155">
        <v>15</v>
      </c>
      <c r="C12" s="155">
        <v>15</v>
      </c>
      <c r="D12" s="155">
        <v>15</v>
      </c>
      <c r="E12" s="155">
        <v>15</v>
      </c>
      <c r="F12" s="155">
        <v>15</v>
      </c>
      <c r="G12" s="155">
        <v>15</v>
      </c>
      <c r="H12" s="155">
        <v>15</v>
      </c>
      <c r="I12" s="155">
        <v>15</v>
      </c>
      <c r="J12" s="155">
        <v>15</v>
      </c>
      <c r="K12" s="155">
        <v>15</v>
      </c>
      <c r="L12" s="155">
        <v>15</v>
      </c>
      <c r="M12" s="155">
        <v>15</v>
      </c>
      <c r="N12" s="155">
        <f t="shared" ref="N12:N13" si="2">SUM(B12:M12)</f>
        <v>180</v>
      </c>
    </row>
    <row r="13" spans="1:14" x14ac:dyDescent="0.25">
      <c r="A13" s="154" t="s">
        <v>344</v>
      </c>
      <c r="B13" s="155">
        <v>100</v>
      </c>
      <c r="C13" s="155">
        <v>100</v>
      </c>
      <c r="D13" s="155">
        <v>0</v>
      </c>
      <c r="E13" s="155">
        <v>0</v>
      </c>
      <c r="F13" s="155">
        <v>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f t="shared" si="2"/>
        <v>200</v>
      </c>
    </row>
    <row r="14" spans="1:14" x14ac:dyDescent="0.25">
      <c r="A14" s="154" t="s">
        <v>212</v>
      </c>
      <c r="B14" s="155">
        <v>80</v>
      </c>
      <c r="C14" s="155">
        <v>80</v>
      </c>
      <c r="D14" s="155">
        <v>80</v>
      </c>
      <c r="E14" s="155">
        <v>80</v>
      </c>
      <c r="F14" s="155">
        <v>80</v>
      </c>
      <c r="G14" s="155">
        <v>80</v>
      </c>
      <c r="H14" s="155">
        <v>80</v>
      </c>
      <c r="I14" s="155">
        <v>80</v>
      </c>
      <c r="J14" s="155">
        <v>80</v>
      </c>
      <c r="K14" s="155">
        <v>80</v>
      </c>
      <c r="L14" s="155">
        <v>80</v>
      </c>
      <c r="M14" s="155">
        <v>80</v>
      </c>
      <c r="N14" s="155">
        <f t="shared" si="1"/>
        <v>960</v>
      </c>
    </row>
    <row r="15" spans="1:14" x14ac:dyDescent="0.25">
      <c r="A15" s="154" t="s">
        <v>329</v>
      </c>
      <c r="B15" s="155">
        <v>0</v>
      </c>
      <c r="C15" s="155">
        <v>0</v>
      </c>
      <c r="D15" s="155">
        <v>0</v>
      </c>
      <c r="E15" s="155">
        <v>0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si="1"/>
        <v>0</v>
      </c>
    </row>
    <row r="16" spans="1:14" x14ac:dyDescent="0.25">
      <c r="A16" s="154" t="s">
        <v>264</v>
      </c>
      <c r="B16" s="155">
        <v>100</v>
      </c>
      <c r="C16" s="155">
        <v>0</v>
      </c>
      <c r="D16" s="155">
        <v>0</v>
      </c>
      <c r="E16" s="155">
        <v>0</v>
      </c>
      <c r="F16" s="155">
        <v>0</v>
      </c>
      <c r="G16" s="155">
        <v>0</v>
      </c>
      <c r="H16" s="155">
        <v>100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si="1"/>
        <v>200</v>
      </c>
    </row>
    <row r="17" spans="1:14" x14ac:dyDescent="0.25">
      <c r="A17" s="154" t="s">
        <v>267</v>
      </c>
      <c r="B17" s="155">
        <v>0</v>
      </c>
      <c r="C17" s="155">
        <v>2000</v>
      </c>
      <c r="D17" s="155">
        <v>0</v>
      </c>
      <c r="E17" s="155">
        <v>2000</v>
      </c>
      <c r="F17" s="155">
        <v>2000</v>
      </c>
      <c r="G17" s="155">
        <v>0</v>
      </c>
      <c r="H17" s="155">
        <v>2000</v>
      </c>
      <c r="I17" s="155">
        <v>0</v>
      </c>
      <c r="J17" s="155">
        <v>2000</v>
      </c>
      <c r="K17" s="155">
        <v>0</v>
      </c>
      <c r="L17" s="155">
        <v>2000</v>
      </c>
      <c r="M17" s="155">
        <v>0</v>
      </c>
      <c r="N17" s="155">
        <f t="shared" si="1"/>
        <v>12000</v>
      </c>
    </row>
    <row r="18" spans="1:14" x14ac:dyDescent="0.25">
      <c r="A18" s="154" t="s">
        <v>270</v>
      </c>
      <c r="B18" s="155">
        <v>25</v>
      </c>
      <c r="C18" s="155">
        <v>25</v>
      </c>
      <c r="D18" s="155">
        <v>25</v>
      </c>
      <c r="E18" s="155">
        <v>25</v>
      </c>
      <c r="F18" s="155">
        <v>25</v>
      </c>
      <c r="G18" s="155">
        <v>25</v>
      </c>
      <c r="H18" s="155">
        <v>25</v>
      </c>
      <c r="I18" s="155">
        <v>25</v>
      </c>
      <c r="J18" s="155">
        <v>25</v>
      </c>
      <c r="K18" s="155">
        <v>25</v>
      </c>
      <c r="L18" s="155">
        <v>25</v>
      </c>
      <c r="M18" s="155">
        <v>25</v>
      </c>
      <c r="N18" s="155">
        <f t="shared" si="1"/>
        <v>300</v>
      </c>
    </row>
    <row r="19" spans="1:14" x14ac:dyDescent="0.25">
      <c r="A19" s="154" t="s">
        <v>275</v>
      </c>
      <c r="B19" s="155">
        <v>0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1"/>
        <v>0</v>
      </c>
    </row>
    <row r="20" spans="1:14" x14ac:dyDescent="0.25">
      <c r="A20" s="156" t="s">
        <v>196</v>
      </c>
      <c r="B20" s="157">
        <f>SUM(B11:B19)</f>
        <v>350</v>
      </c>
      <c r="C20" s="157">
        <f t="shared" ref="C20:N20" si="3">SUM(C11:C19)</f>
        <v>2220</v>
      </c>
      <c r="D20" s="157">
        <f t="shared" si="3"/>
        <v>120</v>
      </c>
      <c r="E20" s="157">
        <f t="shared" si="3"/>
        <v>2120</v>
      </c>
      <c r="F20" s="157">
        <f t="shared" si="3"/>
        <v>2120</v>
      </c>
      <c r="G20" s="157">
        <f t="shared" si="3"/>
        <v>120</v>
      </c>
      <c r="H20" s="157">
        <f t="shared" si="3"/>
        <v>2350</v>
      </c>
      <c r="I20" s="157">
        <f t="shared" si="3"/>
        <v>120</v>
      </c>
      <c r="J20" s="157">
        <f t="shared" si="3"/>
        <v>2360</v>
      </c>
      <c r="K20" s="157">
        <f t="shared" si="3"/>
        <v>120</v>
      </c>
      <c r="L20" s="157">
        <f t="shared" si="3"/>
        <v>2120</v>
      </c>
      <c r="M20" s="157">
        <f t="shared" si="3"/>
        <v>120</v>
      </c>
      <c r="N20" s="157">
        <f t="shared" si="3"/>
        <v>14240</v>
      </c>
    </row>
    <row r="21" spans="1:14" x14ac:dyDescent="0.25">
      <c r="A21" s="153" t="s">
        <v>222</v>
      </c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</row>
    <row r="22" spans="1:14" x14ac:dyDescent="0.25">
      <c r="A22" s="154" t="s">
        <v>223</v>
      </c>
      <c r="B22" s="155">
        <v>2079.7363108949412</v>
      </c>
      <c r="C22" s="155">
        <v>2189.1961167315171</v>
      </c>
      <c r="D22" s="155">
        <v>2298.655922568093</v>
      </c>
      <c r="E22" s="155">
        <v>2408.115728404669</v>
      </c>
      <c r="F22" s="155">
        <v>2517.5755342412449</v>
      </c>
      <c r="G22" s="155">
        <v>2189.1961167315171</v>
      </c>
      <c r="H22" s="155">
        <v>2517.5755342412449</v>
      </c>
      <c r="I22" s="155">
        <v>2408.115728404669</v>
      </c>
      <c r="J22" s="155">
        <v>2298.655922568093</v>
      </c>
      <c r="K22" s="155">
        <v>2517.5755342412449</v>
      </c>
      <c r="L22" s="155">
        <v>2298.655922568093</v>
      </c>
      <c r="M22" s="155">
        <v>2408.115728404669</v>
      </c>
      <c r="N22" s="155">
        <f>SUM(B22:M22)</f>
        <v>28131.170099999996</v>
      </c>
    </row>
    <row r="23" spans="1:14" x14ac:dyDescent="0.25">
      <c r="A23" s="154" t="s">
        <v>276</v>
      </c>
      <c r="B23" s="155">
        <v>261.96630315578403</v>
      </c>
      <c r="C23" s="155">
        <v>275.75400332187797</v>
      </c>
      <c r="D23" s="155">
        <v>289.54170348797186</v>
      </c>
      <c r="E23" s="155">
        <v>303.32940365406574</v>
      </c>
      <c r="F23" s="155">
        <v>317.11710382015968</v>
      </c>
      <c r="G23" s="155">
        <v>275.75400332187797</v>
      </c>
      <c r="H23" s="155">
        <v>317.11710382015968</v>
      </c>
      <c r="I23" s="155">
        <v>303.32940365406574</v>
      </c>
      <c r="J23" s="155">
        <v>289.54170348797186</v>
      </c>
      <c r="K23" s="155">
        <v>317.11710382015968</v>
      </c>
      <c r="L23" s="155">
        <v>289.54170348797186</v>
      </c>
      <c r="M23" s="155">
        <v>303.32940365406574</v>
      </c>
      <c r="N23" s="155">
        <f>SUM(B23:M23)</f>
        <v>3543.4389426861317</v>
      </c>
    </row>
    <row r="24" spans="1:14" x14ac:dyDescent="0.25">
      <c r="A24" s="154" t="s">
        <v>224</v>
      </c>
      <c r="B24" s="155">
        <v>22.037157693788522</v>
      </c>
      <c r="C24" s="155">
        <v>23.197008098724758</v>
      </c>
      <c r="D24" s="155">
        <v>24.356858503660998</v>
      </c>
      <c r="E24" s="155">
        <v>25.516708908597234</v>
      </c>
      <c r="F24" s="155">
        <v>26.67655931353347</v>
      </c>
      <c r="G24" s="155">
        <v>23.197008098724758</v>
      </c>
      <c r="H24" s="155">
        <v>26.67655931353347</v>
      </c>
      <c r="I24" s="155">
        <v>25.516708908597234</v>
      </c>
      <c r="J24" s="155">
        <v>24.356858503660998</v>
      </c>
      <c r="K24" s="155">
        <v>26.67655931353347</v>
      </c>
      <c r="L24" s="155">
        <v>24.356858503660998</v>
      </c>
      <c r="M24" s="155">
        <v>25.516708908597234</v>
      </c>
      <c r="N24" s="155">
        <f>SUM(B24:M24)</f>
        <v>298.08155406861312</v>
      </c>
    </row>
    <row r="25" spans="1:14" x14ac:dyDescent="0.25">
      <c r="A25" s="154" t="s">
        <v>225</v>
      </c>
      <c r="B25" s="155">
        <v>187.97109120516106</v>
      </c>
      <c r="C25" s="155">
        <v>197.86430653174847</v>
      </c>
      <c r="D25" s="155">
        <v>207.75752185833588</v>
      </c>
      <c r="E25" s="155">
        <v>217.65073718492332</v>
      </c>
      <c r="F25" s="155">
        <v>227.54395251151075</v>
      </c>
      <c r="G25" s="155">
        <v>197.86430653174847</v>
      </c>
      <c r="H25" s="155">
        <v>227.54395251151075</v>
      </c>
      <c r="I25" s="155">
        <v>217.65073718492332</v>
      </c>
      <c r="J25" s="155">
        <v>207.75752185833588</v>
      </c>
      <c r="K25" s="155">
        <v>227.54395251151075</v>
      </c>
      <c r="L25" s="155">
        <v>207.75752185833588</v>
      </c>
      <c r="M25" s="155">
        <v>217.65073718492332</v>
      </c>
      <c r="N25" s="155">
        <f>SUM(B25:M25)</f>
        <v>2542.5563389329682</v>
      </c>
    </row>
    <row r="26" spans="1:14" x14ac:dyDescent="0.25">
      <c r="A26" s="154" t="s">
        <v>227</v>
      </c>
      <c r="B26" s="155">
        <v>51.993407772373537</v>
      </c>
      <c r="C26" s="155">
        <v>54.729902918287934</v>
      </c>
      <c r="D26" s="155">
        <v>57.466398064202323</v>
      </c>
      <c r="E26" s="155">
        <v>60.20289321011672</v>
      </c>
      <c r="F26" s="155">
        <v>62.939388356031117</v>
      </c>
      <c r="G26" s="155">
        <v>54.729902918287934</v>
      </c>
      <c r="H26" s="155">
        <v>62.939388356031117</v>
      </c>
      <c r="I26" s="155">
        <v>60.20289321011672</v>
      </c>
      <c r="J26" s="155">
        <v>57.466398064202323</v>
      </c>
      <c r="K26" s="155">
        <v>62.939388356031117</v>
      </c>
      <c r="L26" s="155">
        <v>57.466398064202323</v>
      </c>
      <c r="M26" s="155">
        <v>60.20289321011672</v>
      </c>
      <c r="N26" s="155">
        <f>SUM(B26:M26)</f>
        <v>703.27925249999987</v>
      </c>
    </row>
    <row r="27" spans="1:14" x14ac:dyDescent="0.25">
      <c r="A27" s="156" t="s">
        <v>228</v>
      </c>
      <c r="B27" s="157">
        <f t="shared" ref="B27:N27" si="4">SUM(B22:B26)</f>
        <v>2603.7042707220485</v>
      </c>
      <c r="C27" s="157">
        <f t="shared" si="4"/>
        <v>2740.7413376021559</v>
      </c>
      <c r="D27" s="157">
        <f t="shared" si="4"/>
        <v>2877.7784044822642</v>
      </c>
      <c r="E27" s="157">
        <f t="shared" si="4"/>
        <v>3014.8154713623717</v>
      </c>
      <c r="F27" s="157">
        <f t="shared" si="4"/>
        <v>3151.8525382424796</v>
      </c>
      <c r="G27" s="157">
        <f t="shared" si="4"/>
        <v>2740.7413376021559</v>
      </c>
      <c r="H27" s="157">
        <f t="shared" si="4"/>
        <v>3151.8525382424796</v>
      </c>
      <c r="I27" s="157">
        <f t="shared" si="4"/>
        <v>3014.8154713623717</v>
      </c>
      <c r="J27" s="157">
        <f t="shared" si="4"/>
        <v>2877.7784044822642</v>
      </c>
      <c r="K27" s="157">
        <f t="shared" si="4"/>
        <v>3151.8525382424796</v>
      </c>
      <c r="L27" s="157">
        <f t="shared" si="4"/>
        <v>2877.7784044822642</v>
      </c>
      <c r="M27" s="157">
        <f t="shared" si="4"/>
        <v>3014.8154713623717</v>
      </c>
      <c r="N27" s="157">
        <f t="shared" si="4"/>
        <v>35218.526188187701</v>
      </c>
    </row>
    <row r="28" spans="1:14" x14ac:dyDescent="0.25">
      <c r="A28" s="158" t="s">
        <v>197</v>
      </c>
      <c r="B28" s="157">
        <f t="shared" ref="B28:N28" si="5">SUM(B20,B27)</f>
        <v>2953.7042707220485</v>
      </c>
      <c r="C28" s="157">
        <f t="shared" si="5"/>
        <v>4960.7413376021559</v>
      </c>
      <c r="D28" s="157">
        <f t="shared" si="5"/>
        <v>2997.7784044822642</v>
      </c>
      <c r="E28" s="157">
        <f t="shared" si="5"/>
        <v>5134.8154713623717</v>
      </c>
      <c r="F28" s="157">
        <f t="shared" si="5"/>
        <v>5271.8525382424796</v>
      </c>
      <c r="G28" s="157">
        <f t="shared" si="5"/>
        <v>2860.7413376021559</v>
      </c>
      <c r="H28" s="157">
        <f t="shared" si="5"/>
        <v>5501.8525382424796</v>
      </c>
      <c r="I28" s="157">
        <f t="shared" si="5"/>
        <v>3134.8154713623717</v>
      </c>
      <c r="J28" s="157">
        <f t="shared" si="5"/>
        <v>5237.7784044822638</v>
      </c>
      <c r="K28" s="157">
        <f t="shared" si="5"/>
        <v>3271.8525382424796</v>
      </c>
      <c r="L28" s="157">
        <f t="shared" si="5"/>
        <v>4997.7784044822638</v>
      </c>
      <c r="M28" s="157">
        <f t="shared" si="5"/>
        <v>3134.8154713623717</v>
      </c>
      <c r="N28" s="157">
        <f t="shared" si="5"/>
        <v>49458.526188187701</v>
      </c>
    </row>
    <row r="29" spans="1:14" x14ac:dyDescent="0.25">
      <c r="A29" s="149" t="s">
        <v>198</v>
      </c>
      <c r="B29" s="150">
        <f>B8-B28</f>
        <v>-2953.7042707220485</v>
      </c>
      <c r="C29" s="150">
        <f t="shared" ref="C29:N29" si="6">C8-C28</f>
        <v>-4960.7413376021559</v>
      </c>
      <c r="D29" s="150">
        <f t="shared" si="6"/>
        <v>-2997.7784044822642</v>
      </c>
      <c r="E29" s="150">
        <f t="shared" si="6"/>
        <v>-5134.8154713623717</v>
      </c>
      <c r="F29" s="150">
        <f t="shared" si="6"/>
        <v>-5271.8525382424796</v>
      </c>
      <c r="G29" s="150">
        <f t="shared" si="6"/>
        <v>-2860.7413376021559</v>
      </c>
      <c r="H29" s="150">
        <f t="shared" si="6"/>
        <v>-5501.8525382424796</v>
      </c>
      <c r="I29" s="150">
        <f t="shared" si="6"/>
        <v>-3134.8154713623717</v>
      </c>
      <c r="J29" s="150">
        <f t="shared" si="6"/>
        <v>-5237.7784044822638</v>
      </c>
      <c r="K29" s="150">
        <f t="shared" si="6"/>
        <v>-3271.8525382424796</v>
      </c>
      <c r="L29" s="150">
        <f t="shared" si="6"/>
        <v>-4997.7784044822638</v>
      </c>
      <c r="M29" s="150">
        <f t="shared" si="6"/>
        <v>-3134.8154713623717</v>
      </c>
      <c r="N29" s="150">
        <f t="shared" si="6"/>
        <v>-49458.526188187701</v>
      </c>
    </row>
    <row r="30" spans="1:14" x14ac:dyDescent="0.25">
      <c r="A30" s="149" t="s">
        <v>31</v>
      </c>
      <c r="B30" s="150">
        <f t="shared" ref="B30:N30" si="7">B29+0+0</f>
        <v>-2953.7042707220485</v>
      </c>
      <c r="C30" s="150">
        <f t="shared" si="7"/>
        <v>-4960.7413376021559</v>
      </c>
      <c r="D30" s="150">
        <f t="shared" si="7"/>
        <v>-2997.7784044822642</v>
      </c>
      <c r="E30" s="150">
        <f t="shared" si="7"/>
        <v>-5134.8154713623717</v>
      </c>
      <c r="F30" s="150">
        <f t="shared" si="7"/>
        <v>-5271.8525382424796</v>
      </c>
      <c r="G30" s="150">
        <f t="shared" si="7"/>
        <v>-2860.7413376021559</v>
      </c>
      <c r="H30" s="150">
        <f t="shared" si="7"/>
        <v>-5501.8525382424796</v>
      </c>
      <c r="I30" s="150">
        <f t="shared" si="7"/>
        <v>-3134.8154713623717</v>
      </c>
      <c r="J30" s="150">
        <f t="shared" si="7"/>
        <v>-5237.7784044822638</v>
      </c>
      <c r="K30" s="150">
        <f t="shared" si="7"/>
        <v>-3271.8525382424796</v>
      </c>
      <c r="L30" s="150">
        <f t="shared" si="7"/>
        <v>-4997.7784044822638</v>
      </c>
      <c r="M30" s="150">
        <f t="shared" si="7"/>
        <v>-3134.8154713623717</v>
      </c>
      <c r="N30" s="150">
        <f t="shared" si="7"/>
        <v>-49458.526188187701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70BFA-2009-D447-BD0E-F5111B4EFA6E}">
  <sheetPr codeName="Sheet11">
    <tabColor rgb="FFFFFF00"/>
  </sheetPr>
  <dimension ref="A1:N25"/>
  <sheetViews>
    <sheetView workbookViewId="0">
      <selection activeCell="J30" sqref="J30"/>
    </sheetView>
  </sheetViews>
  <sheetFormatPr defaultColWidth="6.5" defaultRowHeight="15.75" x14ac:dyDescent="0.25"/>
  <cols>
    <col min="1" max="1" width="46.125" bestFit="1" customWidth="1"/>
    <col min="2" max="2" width="9.75" customWidth="1"/>
    <col min="3" max="3" width="6.5" bestFit="1" customWidth="1"/>
    <col min="4" max="4" width="7.25" bestFit="1" customWidth="1"/>
    <col min="5" max="5" width="6.5" bestFit="1" customWidth="1"/>
    <col min="6" max="6" width="6.875" bestFit="1" customWidth="1"/>
    <col min="7" max="7" width="7.625" customWidth="1"/>
    <col min="8" max="8" width="10.125" customWidth="1"/>
    <col min="9" max="9" width="6.75" bestFit="1" customWidth="1"/>
    <col min="10" max="11" width="6.5" bestFit="1" customWidth="1"/>
    <col min="12" max="13" width="6.5" customWidth="1"/>
    <col min="14" max="14" width="9.375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74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344</v>
      </c>
      <c r="B11" s="155">
        <v>100</v>
      </c>
      <c r="C11" s="155">
        <v>100</v>
      </c>
      <c r="D11" s="155">
        <v>0</v>
      </c>
      <c r="E11" s="155">
        <v>0</v>
      </c>
      <c r="F11" s="155">
        <v>0</v>
      </c>
      <c r="G11" s="155">
        <v>0</v>
      </c>
      <c r="H11" s="155">
        <v>100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4" si="1">SUM(B11:M11)</f>
        <v>300</v>
      </c>
    </row>
    <row r="12" spans="1:14" x14ac:dyDescent="0.25">
      <c r="A12" s="154" t="s">
        <v>345</v>
      </c>
      <c r="B12" s="155">
        <v>0</v>
      </c>
      <c r="C12" s="155">
        <v>0</v>
      </c>
      <c r="D12" s="155">
        <v>500</v>
      </c>
      <c r="E12" s="155">
        <v>0</v>
      </c>
      <c r="F12" s="155">
        <v>0</v>
      </c>
      <c r="G12" s="155">
        <v>0</v>
      </c>
      <c r="H12" s="155">
        <v>0</v>
      </c>
      <c r="I12" s="155">
        <v>500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1000</v>
      </c>
    </row>
    <row r="13" spans="1:14" x14ac:dyDescent="0.25">
      <c r="A13" s="154" t="s">
        <v>336</v>
      </c>
      <c r="B13" s="155">
        <v>0</v>
      </c>
      <c r="C13" s="155">
        <v>50</v>
      </c>
      <c r="D13" s="155">
        <v>50</v>
      </c>
      <c r="E13" s="155">
        <v>50</v>
      </c>
      <c r="F13" s="155">
        <v>50</v>
      </c>
      <c r="G13" s="155">
        <v>50</v>
      </c>
      <c r="H13" s="155">
        <v>50</v>
      </c>
      <c r="I13" s="155">
        <v>50</v>
      </c>
      <c r="J13" s="155">
        <v>50</v>
      </c>
      <c r="K13" s="155">
        <v>50</v>
      </c>
      <c r="L13" s="155">
        <v>50</v>
      </c>
      <c r="M13" s="155">
        <v>0</v>
      </c>
      <c r="N13" s="155">
        <f t="shared" si="1"/>
        <v>500</v>
      </c>
    </row>
    <row r="14" spans="1:14" x14ac:dyDescent="0.25">
      <c r="A14" s="154" t="s">
        <v>267</v>
      </c>
      <c r="B14" s="155">
        <v>20</v>
      </c>
      <c r="C14" s="155">
        <v>20</v>
      </c>
      <c r="D14" s="155">
        <v>20</v>
      </c>
      <c r="E14" s="155">
        <v>20</v>
      </c>
      <c r="F14" s="155">
        <v>20</v>
      </c>
      <c r="G14" s="155">
        <v>20</v>
      </c>
      <c r="H14" s="155">
        <v>20</v>
      </c>
      <c r="I14" s="155">
        <v>20</v>
      </c>
      <c r="J14" s="155">
        <v>20</v>
      </c>
      <c r="K14" s="155">
        <v>20</v>
      </c>
      <c r="L14" s="155">
        <v>20</v>
      </c>
      <c r="M14" s="155">
        <v>20</v>
      </c>
      <c r="N14" s="155">
        <f t="shared" si="1"/>
        <v>240</v>
      </c>
    </row>
    <row r="15" spans="1:14" x14ac:dyDescent="0.25">
      <c r="A15" s="154" t="s">
        <v>270</v>
      </c>
      <c r="B15" s="155">
        <v>12</v>
      </c>
      <c r="C15" s="155">
        <v>12</v>
      </c>
      <c r="D15" s="155">
        <v>12</v>
      </c>
      <c r="E15" s="155">
        <v>12</v>
      </c>
      <c r="F15" s="155">
        <v>12</v>
      </c>
      <c r="G15" s="155">
        <v>12</v>
      </c>
      <c r="H15" s="155">
        <v>12</v>
      </c>
      <c r="I15" s="155">
        <v>12</v>
      </c>
      <c r="J15" s="155">
        <v>12</v>
      </c>
      <c r="K15" s="155">
        <v>12</v>
      </c>
      <c r="L15" s="155">
        <v>12</v>
      </c>
      <c r="M15" s="155">
        <v>12</v>
      </c>
      <c r="N15" s="155">
        <f t="shared" ref="N15:N16" si="2">SUM(B15:M15)</f>
        <v>144</v>
      </c>
    </row>
    <row r="16" spans="1:14" x14ac:dyDescent="0.25">
      <c r="A16" s="154" t="s">
        <v>331</v>
      </c>
      <c r="B16" s="155">
        <v>1000</v>
      </c>
      <c r="C16" s="155">
        <v>50</v>
      </c>
      <c r="D16" s="155">
        <v>50</v>
      </c>
      <c r="E16" s="155">
        <v>50</v>
      </c>
      <c r="F16" s="155">
        <v>50</v>
      </c>
      <c r="G16" s="155">
        <v>50</v>
      </c>
      <c r="H16" s="155">
        <v>1000</v>
      </c>
      <c r="I16" s="155">
        <v>54</v>
      </c>
      <c r="J16" s="155">
        <v>50</v>
      </c>
      <c r="K16" s="155">
        <v>50</v>
      </c>
      <c r="L16" s="155">
        <v>0</v>
      </c>
      <c r="M16" s="155">
        <v>0</v>
      </c>
      <c r="N16" s="155">
        <f t="shared" si="2"/>
        <v>2404</v>
      </c>
    </row>
    <row r="17" spans="1:14" x14ac:dyDescent="0.25">
      <c r="A17" s="156" t="s">
        <v>196</v>
      </c>
      <c r="B17" s="157">
        <f t="shared" ref="B17:N17" si="3">SUM(B11:B16)</f>
        <v>1132</v>
      </c>
      <c r="C17" s="157">
        <f t="shared" si="3"/>
        <v>232</v>
      </c>
      <c r="D17" s="157">
        <f t="shared" si="3"/>
        <v>632</v>
      </c>
      <c r="E17" s="157">
        <f t="shared" si="3"/>
        <v>132</v>
      </c>
      <c r="F17" s="157">
        <f t="shared" si="3"/>
        <v>132</v>
      </c>
      <c r="G17" s="157">
        <f t="shared" si="3"/>
        <v>132</v>
      </c>
      <c r="H17" s="157">
        <f t="shared" si="3"/>
        <v>1182</v>
      </c>
      <c r="I17" s="157">
        <f t="shared" si="3"/>
        <v>636</v>
      </c>
      <c r="J17" s="157">
        <f t="shared" si="3"/>
        <v>132</v>
      </c>
      <c r="K17" s="157">
        <f t="shared" si="3"/>
        <v>132</v>
      </c>
      <c r="L17" s="157">
        <f t="shared" si="3"/>
        <v>82</v>
      </c>
      <c r="M17" s="157">
        <f t="shared" si="3"/>
        <v>32</v>
      </c>
      <c r="N17" s="157">
        <f t="shared" si="3"/>
        <v>4588</v>
      </c>
    </row>
    <row r="18" spans="1:14" x14ac:dyDescent="0.25">
      <c r="A18" s="158" t="s">
        <v>197</v>
      </c>
      <c r="B18" s="157">
        <f t="shared" ref="B18" si="4">SUM(B17)</f>
        <v>1132</v>
      </c>
      <c r="C18" s="157">
        <f t="shared" ref="C18:N18" si="5">SUM(C17)</f>
        <v>232</v>
      </c>
      <c r="D18" s="157">
        <f t="shared" si="5"/>
        <v>632</v>
      </c>
      <c r="E18" s="157">
        <f t="shared" si="5"/>
        <v>132</v>
      </c>
      <c r="F18" s="157">
        <f t="shared" si="5"/>
        <v>132</v>
      </c>
      <c r="G18" s="157">
        <f t="shared" si="5"/>
        <v>132</v>
      </c>
      <c r="H18" s="157">
        <f t="shared" si="5"/>
        <v>1182</v>
      </c>
      <c r="I18" s="157">
        <f t="shared" si="5"/>
        <v>636</v>
      </c>
      <c r="J18" s="157">
        <f t="shared" si="5"/>
        <v>132</v>
      </c>
      <c r="K18" s="157">
        <f t="shared" si="5"/>
        <v>132</v>
      </c>
      <c r="L18" s="157">
        <f t="shared" si="5"/>
        <v>82</v>
      </c>
      <c r="M18" s="157">
        <f t="shared" si="5"/>
        <v>32</v>
      </c>
      <c r="N18" s="157">
        <f t="shared" si="5"/>
        <v>4588</v>
      </c>
    </row>
    <row r="19" spans="1:14" x14ac:dyDescent="0.25">
      <c r="A19" s="149" t="s">
        <v>198</v>
      </c>
      <c r="B19" s="150">
        <f t="shared" ref="B19:N19" si="6">B8-B18</f>
        <v>-1132</v>
      </c>
      <c r="C19" s="150">
        <f t="shared" si="6"/>
        <v>-232</v>
      </c>
      <c r="D19" s="150">
        <f t="shared" si="6"/>
        <v>-632</v>
      </c>
      <c r="E19" s="150">
        <f t="shared" si="6"/>
        <v>-132</v>
      </c>
      <c r="F19" s="150">
        <f t="shared" si="6"/>
        <v>-132</v>
      </c>
      <c r="G19" s="150">
        <f t="shared" si="6"/>
        <v>-132</v>
      </c>
      <c r="H19" s="150">
        <f t="shared" si="6"/>
        <v>-1182</v>
      </c>
      <c r="I19" s="150">
        <f t="shared" si="6"/>
        <v>-636</v>
      </c>
      <c r="J19" s="150">
        <f t="shared" si="6"/>
        <v>-132</v>
      </c>
      <c r="K19" s="150">
        <f t="shared" si="6"/>
        <v>-132</v>
      </c>
      <c r="L19" s="150">
        <f t="shared" si="6"/>
        <v>-82</v>
      </c>
      <c r="M19" s="150">
        <f t="shared" si="6"/>
        <v>-32</v>
      </c>
      <c r="N19" s="150">
        <f t="shared" si="6"/>
        <v>-4588</v>
      </c>
    </row>
    <row r="20" spans="1:14" x14ac:dyDescent="0.25">
      <c r="A20" s="151" t="s">
        <v>199</v>
      </c>
      <c r="B20" s="152"/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</row>
    <row r="21" spans="1:14" x14ac:dyDescent="0.25">
      <c r="A21" s="153" t="s">
        <v>202</v>
      </c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</row>
    <row r="22" spans="1:14" x14ac:dyDescent="0.25">
      <c r="A22" s="154" t="s">
        <v>230</v>
      </c>
      <c r="B22" s="155">
        <v>0</v>
      </c>
      <c r="C22" s="155">
        <v>0</v>
      </c>
      <c r="D22" s="155">
        <v>0</v>
      </c>
      <c r="E22" s="155">
        <v>0</v>
      </c>
      <c r="F22" s="155">
        <v>0</v>
      </c>
      <c r="G22" s="155">
        <v>0</v>
      </c>
      <c r="H22" s="155">
        <v>0</v>
      </c>
      <c r="I22" s="155">
        <v>0</v>
      </c>
      <c r="J22" s="155">
        <v>0</v>
      </c>
      <c r="K22" s="155">
        <v>0</v>
      </c>
      <c r="L22" s="155">
        <v>0</v>
      </c>
      <c r="M22" s="155">
        <v>0</v>
      </c>
      <c r="N22" s="155">
        <f>SUM(B22:M22)</f>
        <v>0</v>
      </c>
    </row>
    <row r="23" spans="1:14" x14ac:dyDescent="0.25">
      <c r="A23" s="156" t="s">
        <v>203</v>
      </c>
      <c r="B23" s="157">
        <f t="shared" ref="B23:B24" si="7">SUM(B22)</f>
        <v>0</v>
      </c>
      <c r="C23" s="157">
        <f t="shared" ref="C23:N24" si="8">SUM(C22)</f>
        <v>0</v>
      </c>
      <c r="D23" s="157">
        <f t="shared" si="8"/>
        <v>0</v>
      </c>
      <c r="E23" s="157">
        <f t="shared" si="8"/>
        <v>0</v>
      </c>
      <c r="F23" s="157">
        <f t="shared" si="8"/>
        <v>0</v>
      </c>
      <c r="G23" s="157">
        <f t="shared" si="8"/>
        <v>0</v>
      </c>
      <c r="H23" s="157">
        <f t="shared" si="8"/>
        <v>0</v>
      </c>
      <c r="I23" s="157">
        <f t="shared" si="8"/>
        <v>0</v>
      </c>
      <c r="J23" s="157">
        <f t="shared" si="8"/>
        <v>0</v>
      </c>
      <c r="K23" s="157">
        <f t="shared" si="8"/>
        <v>0</v>
      </c>
      <c r="L23" s="157">
        <f t="shared" si="8"/>
        <v>0</v>
      </c>
      <c r="M23" s="157">
        <f t="shared" si="8"/>
        <v>0</v>
      </c>
      <c r="N23" s="157">
        <f t="shared" si="8"/>
        <v>0</v>
      </c>
    </row>
    <row r="24" spans="1:14" x14ac:dyDescent="0.25">
      <c r="A24" s="158" t="s">
        <v>206</v>
      </c>
      <c r="B24" s="157">
        <f t="shared" si="7"/>
        <v>0</v>
      </c>
      <c r="C24" s="157">
        <f t="shared" si="8"/>
        <v>0</v>
      </c>
      <c r="D24" s="157">
        <f t="shared" si="8"/>
        <v>0</v>
      </c>
      <c r="E24" s="157">
        <f t="shared" si="8"/>
        <v>0</v>
      </c>
      <c r="F24" s="157">
        <f t="shared" si="8"/>
        <v>0</v>
      </c>
      <c r="G24" s="157">
        <f t="shared" si="8"/>
        <v>0</v>
      </c>
      <c r="H24" s="157">
        <f t="shared" si="8"/>
        <v>0</v>
      </c>
      <c r="I24" s="157">
        <f t="shared" si="8"/>
        <v>0</v>
      </c>
      <c r="J24" s="157">
        <f t="shared" si="8"/>
        <v>0</v>
      </c>
      <c r="K24" s="157">
        <f t="shared" si="8"/>
        <v>0</v>
      </c>
      <c r="L24" s="157">
        <f t="shared" si="8"/>
        <v>0</v>
      </c>
      <c r="M24" s="157">
        <f t="shared" si="8"/>
        <v>0</v>
      </c>
      <c r="N24" s="157">
        <f t="shared" si="8"/>
        <v>0</v>
      </c>
    </row>
    <row r="25" spans="1:14" x14ac:dyDescent="0.25">
      <c r="A25" s="149" t="s">
        <v>31</v>
      </c>
      <c r="B25" s="150">
        <f t="shared" ref="B25:N25" si="9">B19+B24+0</f>
        <v>-1132</v>
      </c>
      <c r="C25" s="150">
        <f t="shared" si="9"/>
        <v>-232</v>
      </c>
      <c r="D25" s="150">
        <f t="shared" si="9"/>
        <v>-632</v>
      </c>
      <c r="E25" s="150">
        <f t="shared" si="9"/>
        <v>-132</v>
      </c>
      <c r="F25" s="150">
        <f t="shared" si="9"/>
        <v>-132</v>
      </c>
      <c r="G25" s="150">
        <f t="shared" si="9"/>
        <v>-132</v>
      </c>
      <c r="H25" s="150">
        <f t="shared" si="9"/>
        <v>-1182</v>
      </c>
      <c r="I25" s="150">
        <f t="shared" si="9"/>
        <v>-636</v>
      </c>
      <c r="J25" s="150">
        <f t="shared" si="9"/>
        <v>-132</v>
      </c>
      <c r="K25" s="150">
        <f t="shared" si="9"/>
        <v>-132</v>
      </c>
      <c r="L25" s="150">
        <f t="shared" si="9"/>
        <v>-82</v>
      </c>
      <c r="M25" s="150">
        <f t="shared" si="9"/>
        <v>-32</v>
      </c>
      <c r="N25" s="150">
        <f t="shared" si="9"/>
        <v>-4588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17544-EAE8-B14D-80C9-720EB06D32B3}">
  <sheetPr codeName="Sheet12">
    <tabColor rgb="FFFFFF00"/>
  </sheetPr>
  <dimension ref="A1:N31"/>
  <sheetViews>
    <sheetView topLeftCell="A3" zoomScaleNormal="100" workbookViewId="0">
      <selection activeCell="F29" sqref="F29"/>
    </sheetView>
  </sheetViews>
  <sheetFormatPr defaultColWidth="6.5" defaultRowHeight="15.75" x14ac:dyDescent="0.25"/>
  <cols>
    <col min="1" max="1" width="46.125" bestFit="1" customWidth="1"/>
    <col min="2" max="12" width="8" bestFit="1" customWidth="1"/>
    <col min="13" max="13" width="7.125" bestFit="1" customWidth="1"/>
    <col min="14" max="14" width="8.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346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344</v>
      </c>
      <c r="B11" s="155">
        <v>250</v>
      </c>
      <c r="C11" s="155">
        <v>150</v>
      </c>
      <c r="D11" s="155">
        <v>0</v>
      </c>
      <c r="E11" s="155">
        <v>0</v>
      </c>
      <c r="F11" s="155">
        <v>0</v>
      </c>
      <c r="G11" s="155">
        <v>150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3" si="1">SUM(B11:M11)</f>
        <v>550</v>
      </c>
    </row>
    <row r="12" spans="1:14" x14ac:dyDescent="0.25">
      <c r="A12" s="154" t="s">
        <v>336</v>
      </c>
      <c r="B12" s="155">
        <v>1000</v>
      </c>
      <c r="C12" s="155">
        <v>1000</v>
      </c>
      <c r="D12" s="155">
        <v>1250</v>
      </c>
      <c r="E12" s="155">
        <v>1000</v>
      </c>
      <c r="F12" s="155">
        <v>1000</v>
      </c>
      <c r="G12" s="155">
        <v>1000</v>
      </c>
      <c r="H12" s="155">
        <v>1000</v>
      </c>
      <c r="I12" s="155">
        <v>1250</v>
      </c>
      <c r="J12" s="155">
        <v>1000</v>
      </c>
      <c r="K12" s="155">
        <v>1000</v>
      </c>
      <c r="L12" s="155">
        <v>1000</v>
      </c>
      <c r="M12" s="155">
        <v>0</v>
      </c>
      <c r="N12" s="155">
        <f t="shared" si="1"/>
        <v>11500</v>
      </c>
    </row>
    <row r="13" spans="1:14" x14ac:dyDescent="0.25">
      <c r="A13" s="154" t="s">
        <v>27</v>
      </c>
      <c r="B13" s="155">
        <v>0</v>
      </c>
      <c r="C13" s="155">
        <v>49</v>
      </c>
      <c r="D13" s="155">
        <v>49</v>
      </c>
      <c r="E13" s="155">
        <v>49</v>
      </c>
      <c r="F13" s="155">
        <v>49</v>
      </c>
      <c r="G13" s="155">
        <v>0</v>
      </c>
      <c r="H13" s="155">
        <v>49</v>
      </c>
      <c r="I13" s="155">
        <v>49</v>
      </c>
      <c r="J13" s="155">
        <v>49</v>
      </c>
      <c r="K13" s="155">
        <v>49</v>
      </c>
      <c r="L13" s="155">
        <v>49</v>
      </c>
      <c r="M13" s="155">
        <v>0</v>
      </c>
      <c r="N13" s="155">
        <f t="shared" si="1"/>
        <v>441</v>
      </c>
    </row>
    <row r="14" spans="1:14" x14ac:dyDescent="0.25">
      <c r="A14" s="154" t="s">
        <v>329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>SUM(B14:M14)</f>
        <v>0</v>
      </c>
    </row>
    <row r="15" spans="1:14" x14ac:dyDescent="0.25">
      <c r="A15" s="154" t="s">
        <v>264</v>
      </c>
      <c r="B15" s="155">
        <v>0</v>
      </c>
      <c r="C15" s="155">
        <v>14</v>
      </c>
      <c r="D15" s="155">
        <v>14</v>
      </c>
      <c r="E15" s="155">
        <v>14</v>
      </c>
      <c r="F15" s="155">
        <v>14</v>
      </c>
      <c r="G15" s="155">
        <v>14</v>
      </c>
      <c r="H15" s="155">
        <v>14</v>
      </c>
      <c r="I15" s="155">
        <v>14</v>
      </c>
      <c r="J15" s="155">
        <v>14</v>
      </c>
      <c r="K15" s="155">
        <v>14</v>
      </c>
      <c r="L15" s="155">
        <v>14</v>
      </c>
      <c r="M15" s="155">
        <v>0</v>
      </c>
      <c r="N15" s="155">
        <f t="shared" ref="N15:N22" si="2">SUM(B15:M15)</f>
        <v>140</v>
      </c>
    </row>
    <row r="16" spans="1:14" x14ac:dyDescent="0.25">
      <c r="A16" s="154" t="s">
        <v>214</v>
      </c>
      <c r="B16" s="155">
        <v>43</v>
      </c>
      <c r="C16" s="155">
        <v>43</v>
      </c>
      <c r="D16" s="155">
        <v>43</v>
      </c>
      <c r="E16" s="155">
        <v>43</v>
      </c>
      <c r="F16" s="155">
        <v>43</v>
      </c>
      <c r="G16" s="155">
        <v>43</v>
      </c>
      <c r="H16" s="155">
        <v>43</v>
      </c>
      <c r="I16" s="155">
        <v>43</v>
      </c>
      <c r="J16" s="155">
        <v>43</v>
      </c>
      <c r="K16" s="155">
        <v>43</v>
      </c>
      <c r="L16" s="155">
        <v>43</v>
      </c>
      <c r="M16" s="155">
        <v>43</v>
      </c>
      <c r="N16" s="155">
        <f t="shared" si="2"/>
        <v>516</v>
      </c>
    </row>
    <row r="17" spans="1:14" x14ac:dyDescent="0.25">
      <c r="A17" s="154" t="s">
        <v>339</v>
      </c>
      <c r="B17" s="155">
        <v>0</v>
      </c>
      <c r="C17" s="155">
        <v>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2"/>
        <v>0</v>
      </c>
    </row>
    <row r="18" spans="1:14" x14ac:dyDescent="0.25">
      <c r="A18" s="154" t="s">
        <v>267</v>
      </c>
      <c r="B18" s="155">
        <v>33</v>
      </c>
      <c r="C18" s="155">
        <v>33</v>
      </c>
      <c r="D18" s="155">
        <v>33</v>
      </c>
      <c r="E18" s="155">
        <v>33</v>
      </c>
      <c r="F18" s="155">
        <v>33</v>
      </c>
      <c r="G18" s="155">
        <v>33</v>
      </c>
      <c r="H18" s="155">
        <v>33</v>
      </c>
      <c r="I18" s="155">
        <v>33</v>
      </c>
      <c r="J18" s="155">
        <v>33</v>
      </c>
      <c r="K18" s="155">
        <v>33</v>
      </c>
      <c r="L18" s="155">
        <v>33</v>
      </c>
      <c r="M18" s="155">
        <v>33</v>
      </c>
      <c r="N18" s="155">
        <f t="shared" si="2"/>
        <v>396</v>
      </c>
    </row>
    <row r="19" spans="1:14" x14ac:dyDescent="0.25">
      <c r="A19" s="154" t="s">
        <v>347</v>
      </c>
      <c r="B19" s="155">
        <v>0</v>
      </c>
      <c r="C19" s="155">
        <v>1500</v>
      </c>
      <c r="D19" s="155">
        <v>100</v>
      </c>
      <c r="E19" s="155">
        <v>0</v>
      </c>
      <c r="F19" s="155">
        <v>0</v>
      </c>
      <c r="G19" s="155">
        <v>0</v>
      </c>
      <c r="H19" s="155">
        <v>1000</v>
      </c>
      <c r="I19" s="155">
        <v>100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2"/>
        <v>2700</v>
      </c>
    </row>
    <row r="20" spans="1:14" x14ac:dyDescent="0.25">
      <c r="A20" s="154" t="s">
        <v>270</v>
      </c>
      <c r="B20" s="155">
        <v>21</v>
      </c>
      <c r="C20" s="155">
        <v>21</v>
      </c>
      <c r="D20" s="155">
        <v>21</v>
      </c>
      <c r="E20" s="155">
        <v>21</v>
      </c>
      <c r="F20" s="155">
        <v>21</v>
      </c>
      <c r="G20" s="155">
        <v>21</v>
      </c>
      <c r="H20" s="155">
        <v>21</v>
      </c>
      <c r="I20" s="155">
        <v>21</v>
      </c>
      <c r="J20" s="155">
        <v>21</v>
      </c>
      <c r="K20" s="155">
        <v>21</v>
      </c>
      <c r="L20" s="155">
        <v>21</v>
      </c>
      <c r="M20" s="155">
        <v>21</v>
      </c>
      <c r="N20" s="155">
        <f>SUM(B20:M20)</f>
        <v>252</v>
      </c>
    </row>
    <row r="21" spans="1:14" x14ac:dyDescent="0.25">
      <c r="A21" s="154" t="s">
        <v>348</v>
      </c>
      <c r="B21" s="155">
        <v>0</v>
      </c>
      <c r="C21" s="155">
        <v>50</v>
      </c>
      <c r="D21" s="155">
        <v>50</v>
      </c>
      <c r="E21" s="155">
        <v>50</v>
      </c>
      <c r="F21" s="155">
        <v>0</v>
      </c>
      <c r="G21" s="155">
        <v>0</v>
      </c>
      <c r="H21" s="155">
        <v>50</v>
      </c>
      <c r="I21" s="155">
        <v>50</v>
      </c>
      <c r="J21" s="155">
        <v>50</v>
      </c>
      <c r="K21" s="155">
        <v>0</v>
      </c>
      <c r="L21" s="155">
        <v>0</v>
      </c>
      <c r="M21" s="155">
        <v>0</v>
      </c>
      <c r="N21" s="155">
        <f t="shared" si="2"/>
        <v>300</v>
      </c>
    </row>
    <row r="22" spans="1:14" x14ac:dyDescent="0.25">
      <c r="A22" s="154" t="s">
        <v>221</v>
      </c>
      <c r="B22" s="155">
        <v>10.62</v>
      </c>
      <c r="C22" s="155">
        <v>10.62</v>
      </c>
      <c r="D22" s="155">
        <v>10.62</v>
      </c>
      <c r="E22" s="155">
        <v>10.62</v>
      </c>
      <c r="F22" s="155">
        <v>10.62</v>
      </c>
      <c r="G22" s="155">
        <v>10.62</v>
      </c>
      <c r="H22" s="155">
        <v>10.62</v>
      </c>
      <c r="I22" s="155">
        <v>10.62</v>
      </c>
      <c r="J22" s="155">
        <v>10.62</v>
      </c>
      <c r="K22" s="155">
        <v>10.62</v>
      </c>
      <c r="L22" s="155">
        <v>10.62</v>
      </c>
      <c r="M22" s="155">
        <v>10.62</v>
      </c>
      <c r="N22" s="155">
        <f t="shared" si="2"/>
        <v>127.44000000000001</v>
      </c>
    </row>
    <row r="23" spans="1:14" x14ac:dyDescent="0.25">
      <c r="A23" s="156" t="s">
        <v>196</v>
      </c>
      <c r="B23" s="157">
        <f>SUM(B11:B22)</f>
        <v>1357.62</v>
      </c>
      <c r="C23" s="157">
        <f t="shared" ref="C23:N23" si="3">SUM(C11:C22)</f>
        <v>2870.62</v>
      </c>
      <c r="D23" s="157">
        <f t="shared" si="3"/>
        <v>1570.62</v>
      </c>
      <c r="E23" s="157">
        <f t="shared" si="3"/>
        <v>1220.6199999999999</v>
      </c>
      <c r="F23" s="157">
        <f t="shared" si="3"/>
        <v>1170.6199999999999</v>
      </c>
      <c r="G23" s="157">
        <f t="shared" si="3"/>
        <v>1271.6199999999999</v>
      </c>
      <c r="H23" s="157">
        <f t="shared" si="3"/>
        <v>2220.62</v>
      </c>
      <c r="I23" s="157">
        <f t="shared" si="3"/>
        <v>1570.62</v>
      </c>
      <c r="J23" s="157">
        <f t="shared" si="3"/>
        <v>1220.6199999999999</v>
      </c>
      <c r="K23" s="157">
        <f t="shared" si="3"/>
        <v>1170.6199999999999</v>
      </c>
      <c r="L23" s="157">
        <f t="shared" si="3"/>
        <v>1170.6199999999999</v>
      </c>
      <c r="M23" s="157">
        <f t="shared" si="3"/>
        <v>107.62</v>
      </c>
      <c r="N23" s="157">
        <f t="shared" si="3"/>
        <v>16922.439999999999</v>
      </c>
    </row>
    <row r="24" spans="1:14" x14ac:dyDescent="0.25">
      <c r="A24" s="158" t="s">
        <v>197</v>
      </c>
      <c r="B24" s="157">
        <f t="shared" ref="B24" si="4">SUM(B23)</f>
        <v>1357.62</v>
      </c>
      <c r="C24" s="157">
        <f t="shared" ref="C24:N24" si="5">SUM(C23)</f>
        <v>2870.62</v>
      </c>
      <c r="D24" s="157">
        <f t="shared" si="5"/>
        <v>1570.62</v>
      </c>
      <c r="E24" s="157">
        <f t="shared" si="5"/>
        <v>1220.6199999999999</v>
      </c>
      <c r="F24" s="157">
        <f t="shared" si="5"/>
        <v>1170.6199999999999</v>
      </c>
      <c r="G24" s="157">
        <f t="shared" si="5"/>
        <v>1271.6199999999999</v>
      </c>
      <c r="H24" s="157">
        <f t="shared" si="5"/>
        <v>2220.62</v>
      </c>
      <c r="I24" s="157">
        <f t="shared" si="5"/>
        <v>1570.62</v>
      </c>
      <c r="J24" s="157">
        <f t="shared" si="5"/>
        <v>1220.6199999999999</v>
      </c>
      <c r="K24" s="157">
        <f t="shared" si="5"/>
        <v>1170.6199999999999</v>
      </c>
      <c r="L24" s="157">
        <f t="shared" si="5"/>
        <v>1170.6199999999999</v>
      </c>
      <c r="M24" s="157">
        <f t="shared" si="5"/>
        <v>107.62</v>
      </c>
      <c r="N24" s="157">
        <f t="shared" si="5"/>
        <v>16922.439999999999</v>
      </c>
    </row>
    <row r="25" spans="1:14" x14ac:dyDescent="0.25">
      <c r="A25" s="149" t="s">
        <v>198</v>
      </c>
      <c r="B25" s="150">
        <f t="shared" ref="B25:N25" si="6">B8-B24</f>
        <v>-1357.62</v>
      </c>
      <c r="C25" s="150">
        <f t="shared" si="6"/>
        <v>-2870.62</v>
      </c>
      <c r="D25" s="150">
        <f t="shared" si="6"/>
        <v>-1570.62</v>
      </c>
      <c r="E25" s="150">
        <f t="shared" si="6"/>
        <v>-1220.6199999999999</v>
      </c>
      <c r="F25" s="150">
        <f t="shared" si="6"/>
        <v>-1170.6199999999999</v>
      </c>
      <c r="G25" s="150">
        <f t="shared" si="6"/>
        <v>-1271.6199999999999</v>
      </c>
      <c r="H25" s="150">
        <f t="shared" si="6"/>
        <v>-2220.62</v>
      </c>
      <c r="I25" s="150">
        <f t="shared" si="6"/>
        <v>-1570.62</v>
      </c>
      <c r="J25" s="150">
        <f t="shared" si="6"/>
        <v>-1220.6199999999999</v>
      </c>
      <c r="K25" s="150">
        <f t="shared" si="6"/>
        <v>-1170.6199999999999</v>
      </c>
      <c r="L25" s="150">
        <f t="shared" si="6"/>
        <v>-1170.6199999999999</v>
      </c>
      <c r="M25" s="150">
        <f t="shared" si="6"/>
        <v>-107.62</v>
      </c>
      <c r="N25" s="150">
        <f t="shared" si="6"/>
        <v>-16922.439999999999</v>
      </c>
    </row>
    <row r="26" spans="1:14" x14ac:dyDescent="0.25">
      <c r="A26" s="151" t="s">
        <v>199</v>
      </c>
      <c r="B26" s="152"/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</row>
    <row r="27" spans="1:14" x14ac:dyDescent="0.25">
      <c r="A27" s="153" t="s">
        <v>202</v>
      </c>
      <c r="B27" s="152"/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52"/>
      <c r="N27" s="152"/>
    </row>
    <row r="28" spans="1:14" x14ac:dyDescent="0.25">
      <c r="A28" s="154" t="s">
        <v>230</v>
      </c>
      <c r="B28" s="155">
        <v>0</v>
      </c>
      <c r="C28" s="155">
        <v>0</v>
      </c>
      <c r="D28" s="155">
        <v>0</v>
      </c>
      <c r="E28" s="155">
        <v>0</v>
      </c>
      <c r="F28" s="155">
        <v>0</v>
      </c>
      <c r="G28" s="155">
        <v>0</v>
      </c>
      <c r="H28" s="155">
        <v>0</v>
      </c>
      <c r="I28" s="155">
        <v>0</v>
      </c>
      <c r="J28" s="155">
        <v>0</v>
      </c>
      <c r="K28" s="155">
        <v>200</v>
      </c>
      <c r="L28" s="155">
        <v>0</v>
      </c>
      <c r="M28" s="155">
        <v>0</v>
      </c>
      <c r="N28" s="155">
        <f t="shared" ref="N28" si="7">SUM(B28:M28)</f>
        <v>200</v>
      </c>
    </row>
    <row r="29" spans="1:14" x14ac:dyDescent="0.25">
      <c r="A29" s="156" t="s">
        <v>203</v>
      </c>
      <c r="B29" s="157">
        <f t="shared" ref="B29:N30" si="8">SUM(B28)</f>
        <v>0</v>
      </c>
      <c r="C29" s="157">
        <f t="shared" si="8"/>
        <v>0</v>
      </c>
      <c r="D29" s="157">
        <f t="shared" si="8"/>
        <v>0</v>
      </c>
      <c r="E29" s="157">
        <f t="shared" si="8"/>
        <v>0</v>
      </c>
      <c r="F29" s="157">
        <f t="shared" si="8"/>
        <v>0</v>
      </c>
      <c r="G29" s="157">
        <f t="shared" si="8"/>
        <v>0</v>
      </c>
      <c r="H29" s="157">
        <f t="shared" si="8"/>
        <v>0</v>
      </c>
      <c r="I29" s="157">
        <f t="shared" si="8"/>
        <v>0</v>
      </c>
      <c r="J29" s="157">
        <f t="shared" si="8"/>
        <v>0</v>
      </c>
      <c r="K29" s="157">
        <f t="shared" si="8"/>
        <v>200</v>
      </c>
      <c r="L29" s="157">
        <f t="shared" si="8"/>
        <v>0</v>
      </c>
      <c r="M29" s="157">
        <f t="shared" si="8"/>
        <v>0</v>
      </c>
      <c r="N29" s="157">
        <f t="shared" si="8"/>
        <v>200</v>
      </c>
    </row>
    <row r="30" spans="1:14" x14ac:dyDescent="0.25">
      <c r="A30" s="158" t="s">
        <v>206</v>
      </c>
      <c r="B30" s="157">
        <f t="shared" si="8"/>
        <v>0</v>
      </c>
      <c r="C30" s="157">
        <f t="shared" si="8"/>
        <v>0</v>
      </c>
      <c r="D30" s="157">
        <f t="shared" si="8"/>
        <v>0</v>
      </c>
      <c r="E30" s="157">
        <f t="shared" si="8"/>
        <v>0</v>
      </c>
      <c r="F30" s="157">
        <f t="shared" si="8"/>
        <v>0</v>
      </c>
      <c r="G30" s="157">
        <f t="shared" si="8"/>
        <v>0</v>
      </c>
      <c r="H30" s="157">
        <f t="shared" si="8"/>
        <v>0</v>
      </c>
      <c r="I30" s="157">
        <f t="shared" si="8"/>
        <v>0</v>
      </c>
      <c r="J30" s="157">
        <f t="shared" si="8"/>
        <v>0</v>
      </c>
      <c r="K30" s="157">
        <f t="shared" si="8"/>
        <v>200</v>
      </c>
      <c r="L30" s="157">
        <f t="shared" si="8"/>
        <v>0</v>
      </c>
      <c r="M30" s="157">
        <f t="shared" si="8"/>
        <v>0</v>
      </c>
      <c r="N30" s="157">
        <f t="shared" si="8"/>
        <v>200</v>
      </c>
    </row>
    <row r="31" spans="1:14" x14ac:dyDescent="0.25">
      <c r="A31" s="149" t="s">
        <v>31</v>
      </c>
      <c r="B31" s="150">
        <f t="shared" ref="B31:N31" si="9">B25+B30+0</f>
        <v>-1357.62</v>
      </c>
      <c r="C31" s="150">
        <f t="shared" si="9"/>
        <v>-2870.62</v>
      </c>
      <c r="D31" s="150">
        <f t="shared" si="9"/>
        <v>-1570.62</v>
      </c>
      <c r="E31" s="150">
        <f t="shared" si="9"/>
        <v>-1220.6199999999999</v>
      </c>
      <c r="F31" s="150">
        <f t="shared" si="9"/>
        <v>-1170.6199999999999</v>
      </c>
      <c r="G31" s="150">
        <f t="shared" si="9"/>
        <v>-1271.6199999999999</v>
      </c>
      <c r="H31" s="150">
        <f t="shared" si="9"/>
        <v>-2220.62</v>
      </c>
      <c r="I31" s="150">
        <f t="shared" si="9"/>
        <v>-1570.62</v>
      </c>
      <c r="J31" s="150">
        <f t="shared" si="9"/>
        <v>-1220.6199999999999</v>
      </c>
      <c r="K31" s="150">
        <f t="shared" si="9"/>
        <v>-970.61999999999989</v>
      </c>
      <c r="L31" s="150">
        <f t="shared" si="9"/>
        <v>-1170.6199999999999</v>
      </c>
      <c r="M31" s="150">
        <f t="shared" si="9"/>
        <v>-107.62</v>
      </c>
      <c r="N31" s="150">
        <f t="shared" si="9"/>
        <v>-16722.439999999999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B223D-F4ED-4C90-9B23-8DF814C13127}">
  <sheetPr codeName="Sheet13">
    <tabColor rgb="FFFFFF00"/>
  </sheetPr>
  <dimension ref="A1:N30"/>
  <sheetViews>
    <sheetView zoomScaleNormal="100" workbookViewId="0">
      <selection activeCell="A6" sqref="A1:C1048576"/>
    </sheetView>
  </sheetViews>
  <sheetFormatPr defaultColWidth="6.5" defaultRowHeight="15.75" x14ac:dyDescent="0.25"/>
  <cols>
    <col min="1" max="1" width="46.125" bestFit="1" customWidth="1"/>
    <col min="2" max="2" width="10.125" customWidth="1"/>
    <col min="3" max="3" width="7.25" bestFit="1" customWidth="1"/>
    <col min="4" max="4" width="6.75" bestFit="1" customWidth="1"/>
    <col min="5" max="5" width="7.25" bestFit="1" customWidth="1"/>
    <col min="6" max="6" width="6.875" bestFit="1" customWidth="1"/>
    <col min="7" max="8" width="7.25" bestFit="1" customWidth="1"/>
    <col min="9" max="9" width="6.75" bestFit="1" customWidth="1"/>
    <col min="10" max="10" width="7.25" bestFit="1" customWidth="1"/>
    <col min="11" max="11" width="6.5" bestFit="1" customWidth="1"/>
    <col min="12" max="13" width="6.875" bestFit="1" customWidth="1"/>
    <col min="14" max="14" width="8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349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344</v>
      </c>
      <c r="B11" s="155">
        <v>187.5</v>
      </c>
      <c r="C11" s="155">
        <v>0</v>
      </c>
      <c r="D11" s="155">
        <v>0</v>
      </c>
      <c r="E11" s="155">
        <v>0</v>
      </c>
      <c r="F11" s="155">
        <v>0</v>
      </c>
      <c r="G11" s="155">
        <v>50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" si="1">SUM(B11:M11)</f>
        <v>237.5</v>
      </c>
    </row>
    <row r="12" spans="1:14" x14ac:dyDescent="0.25">
      <c r="A12" s="154" t="s">
        <v>345</v>
      </c>
      <c r="B12" s="155">
        <v>0</v>
      </c>
      <c r="C12" s="155">
        <v>0</v>
      </c>
      <c r="D12" s="155">
        <v>500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>SUM(B12:M12)</f>
        <v>500</v>
      </c>
    </row>
    <row r="13" spans="1:14" x14ac:dyDescent="0.25">
      <c r="A13" s="154" t="s">
        <v>336</v>
      </c>
      <c r="B13" s="155">
        <v>0</v>
      </c>
      <c r="C13" s="155">
        <v>0</v>
      </c>
      <c r="D13" s="155">
        <v>175</v>
      </c>
      <c r="E13" s="155">
        <v>175</v>
      </c>
      <c r="F13" s="155">
        <v>175</v>
      </c>
      <c r="G13" s="155">
        <v>175</v>
      </c>
      <c r="H13" s="155">
        <v>175</v>
      </c>
      <c r="I13" s="155">
        <v>175</v>
      </c>
      <c r="J13" s="155">
        <v>175</v>
      </c>
      <c r="K13" s="155">
        <v>175</v>
      </c>
      <c r="L13" s="155">
        <v>0</v>
      </c>
      <c r="M13" s="155">
        <v>0</v>
      </c>
      <c r="N13" s="155">
        <f>SUM(B13:M13)</f>
        <v>1400</v>
      </c>
    </row>
    <row r="14" spans="1:14" x14ac:dyDescent="0.25">
      <c r="A14" s="154" t="s">
        <v>329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ref="N14:N21" si="2">SUM(B14:M14)</f>
        <v>0</v>
      </c>
    </row>
    <row r="15" spans="1:14" x14ac:dyDescent="0.25">
      <c r="A15" s="154" t="s">
        <v>264</v>
      </c>
      <c r="B15" s="155">
        <v>12</v>
      </c>
      <c r="C15" s="155">
        <v>12</v>
      </c>
      <c r="D15" s="155">
        <v>12</v>
      </c>
      <c r="E15" s="155">
        <v>12</v>
      </c>
      <c r="F15" s="155">
        <v>12</v>
      </c>
      <c r="G15" s="155">
        <v>12</v>
      </c>
      <c r="H15" s="155">
        <v>12</v>
      </c>
      <c r="I15" s="155">
        <v>12</v>
      </c>
      <c r="J15" s="155">
        <v>12</v>
      </c>
      <c r="K15" s="155">
        <v>12</v>
      </c>
      <c r="L15" s="155">
        <v>12</v>
      </c>
      <c r="M15" s="155">
        <v>12</v>
      </c>
      <c r="N15" s="155">
        <f t="shared" si="2"/>
        <v>144</v>
      </c>
    </row>
    <row r="16" spans="1:14" x14ac:dyDescent="0.25">
      <c r="A16" s="154" t="s">
        <v>265</v>
      </c>
      <c r="B16" s="155">
        <v>150</v>
      </c>
      <c r="C16" s="155">
        <v>0</v>
      </c>
      <c r="D16" s="155">
        <v>0</v>
      </c>
      <c r="E16" s="155">
        <v>0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si="2"/>
        <v>150</v>
      </c>
    </row>
    <row r="17" spans="1:14" x14ac:dyDescent="0.25">
      <c r="A17" s="154" t="s">
        <v>339</v>
      </c>
      <c r="B17" s="155">
        <v>0</v>
      </c>
      <c r="C17" s="155">
        <v>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2"/>
        <v>0</v>
      </c>
    </row>
    <row r="18" spans="1:14" x14ac:dyDescent="0.25">
      <c r="A18" s="154" t="s">
        <v>267</v>
      </c>
      <c r="B18" s="155">
        <v>50</v>
      </c>
      <c r="C18" s="155">
        <v>0</v>
      </c>
      <c r="D18" s="155">
        <v>0</v>
      </c>
      <c r="E18" s="155">
        <v>0</v>
      </c>
      <c r="F18" s="155">
        <v>0</v>
      </c>
      <c r="G18" s="155">
        <v>0</v>
      </c>
      <c r="H18" s="155">
        <v>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f t="shared" si="2"/>
        <v>50</v>
      </c>
    </row>
    <row r="19" spans="1:14" x14ac:dyDescent="0.25">
      <c r="A19" s="154" t="s">
        <v>347</v>
      </c>
      <c r="B19" s="155">
        <v>0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2"/>
        <v>0</v>
      </c>
    </row>
    <row r="20" spans="1:14" x14ac:dyDescent="0.25">
      <c r="A20" s="154" t="s">
        <v>270</v>
      </c>
      <c r="B20" s="155">
        <v>23.5</v>
      </c>
      <c r="C20" s="155">
        <v>23.5</v>
      </c>
      <c r="D20" s="155">
        <v>23.5</v>
      </c>
      <c r="E20" s="155">
        <v>23.5</v>
      </c>
      <c r="F20" s="155">
        <v>23.5</v>
      </c>
      <c r="G20" s="155">
        <v>23.5</v>
      </c>
      <c r="H20" s="155">
        <v>23.5</v>
      </c>
      <c r="I20" s="155">
        <v>23.5</v>
      </c>
      <c r="J20" s="155">
        <v>23.5</v>
      </c>
      <c r="K20" s="155">
        <v>23.5</v>
      </c>
      <c r="L20" s="155">
        <v>23.5</v>
      </c>
      <c r="M20" s="155">
        <v>23.5</v>
      </c>
      <c r="N20" s="155">
        <f t="shared" si="2"/>
        <v>282</v>
      </c>
    </row>
    <row r="21" spans="1:14" x14ac:dyDescent="0.25">
      <c r="A21" s="154" t="s">
        <v>348</v>
      </c>
      <c r="B21" s="155">
        <v>0</v>
      </c>
      <c r="C21" s="155">
        <v>0</v>
      </c>
      <c r="D21" s="155">
        <v>65</v>
      </c>
      <c r="E21" s="155">
        <v>45</v>
      </c>
      <c r="F21" s="155">
        <v>65</v>
      </c>
      <c r="G21" s="155">
        <v>0</v>
      </c>
      <c r="H21" s="155">
        <v>0</v>
      </c>
      <c r="I21" s="155">
        <v>45</v>
      </c>
      <c r="J21" s="155">
        <v>65</v>
      </c>
      <c r="K21" s="155">
        <v>65</v>
      </c>
      <c r="L21" s="155">
        <v>0</v>
      </c>
      <c r="M21" s="155">
        <v>0</v>
      </c>
      <c r="N21" s="155">
        <f t="shared" si="2"/>
        <v>350</v>
      </c>
    </row>
    <row r="22" spans="1:14" x14ac:dyDescent="0.25">
      <c r="A22" s="156" t="s">
        <v>196</v>
      </c>
      <c r="B22" s="157">
        <f t="shared" ref="B22:N22" si="3">SUM(B11:B21)</f>
        <v>423</v>
      </c>
      <c r="C22" s="157">
        <f t="shared" si="3"/>
        <v>35.5</v>
      </c>
      <c r="D22" s="157">
        <f t="shared" si="3"/>
        <v>775.5</v>
      </c>
      <c r="E22" s="157">
        <f t="shared" si="3"/>
        <v>255.5</v>
      </c>
      <c r="F22" s="157">
        <f t="shared" si="3"/>
        <v>275.5</v>
      </c>
      <c r="G22" s="157">
        <f t="shared" si="3"/>
        <v>260.5</v>
      </c>
      <c r="H22" s="157">
        <f t="shared" si="3"/>
        <v>210.5</v>
      </c>
      <c r="I22" s="157">
        <f t="shared" si="3"/>
        <v>255.5</v>
      </c>
      <c r="J22" s="157">
        <f t="shared" si="3"/>
        <v>275.5</v>
      </c>
      <c r="K22" s="157">
        <f t="shared" si="3"/>
        <v>275.5</v>
      </c>
      <c r="L22" s="157">
        <f t="shared" si="3"/>
        <v>35.5</v>
      </c>
      <c r="M22" s="157">
        <f t="shared" si="3"/>
        <v>35.5</v>
      </c>
      <c r="N22" s="157">
        <f t="shared" si="3"/>
        <v>3113.5</v>
      </c>
    </row>
    <row r="23" spans="1:14" x14ac:dyDescent="0.25">
      <c r="A23" s="158" t="s">
        <v>197</v>
      </c>
      <c r="B23" s="157">
        <f t="shared" ref="B23:M23" si="4">SUM(B22)</f>
        <v>423</v>
      </c>
      <c r="C23" s="157">
        <f t="shared" si="4"/>
        <v>35.5</v>
      </c>
      <c r="D23" s="157">
        <f t="shared" si="4"/>
        <v>775.5</v>
      </c>
      <c r="E23" s="157">
        <f t="shared" si="4"/>
        <v>255.5</v>
      </c>
      <c r="F23" s="157">
        <f t="shared" si="4"/>
        <v>275.5</v>
      </c>
      <c r="G23" s="157">
        <f t="shared" si="4"/>
        <v>260.5</v>
      </c>
      <c r="H23" s="157">
        <f t="shared" si="4"/>
        <v>210.5</v>
      </c>
      <c r="I23" s="157">
        <f t="shared" si="4"/>
        <v>255.5</v>
      </c>
      <c r="J23" s="157">
        <f t="shared" si="4"/>
        <v>275.5</v>
      </c>
      <c r="K23" s="157">
        <f t="shared" si="4"/>
        <v>275.5</v>
      </c>
      <c r="L23" s="157">
        <f t="shared" si="4"/>
        <v>35.5</v>
      </c>
      <c r="M23" s="157">
        <f t="shared" si="4"/>
        <v>35.5</v>
      </c>
      <c r="N23" s="157">
        <f>SUM(N22)</f>
        <v>3113.5</v>
      </c>
    </row>
    <row r="24" spans="1:14" x14ac:dyDescent="0.25">
      <c r="A24" s="149" t="s">
        <v>198</v>
      </c>
      <c r="B24" s="150">
        <f t="shared" ref="B24:N24" si="5">B8-B23</f>
        <v>-423</v>
      </c>
      <c r="C24" s="150">
        <f t="shared" si="5"/>
        <v>-35.5</v>
      </c>
      <c r="D24" s="150">
        <f t="shared" si="5"/>
        <v>-775.5</v>
      </c>
      <c r="E24" s="150">
        <f t="shared" si="5"/>
        <v>-255.5</v>
      </c>
      <c r="F24" s="150">
        <f t="shared" si="5"/>
        <v>-275.5</v>
      </c>
      <c r="G24" s="150">
        <f t="shared" si="5"/>
        <v>-260.5</v>
      </c>
      <c r="H24" s="150">
        <f t="shared" si="5"/>
        <v>-210.5</v>
      </c>
      <c r="I24" s="150">
        <f t="shared" si="5"/>
        <v>-255.5</v>
      </c>
      <c r="J24" s="150">
        <f t="shared" si="5"/>
        <v>-275.5</v>
      </c>
      <c r="K24" s="150">
        <f t="shared" si="5"/>
        <v>-275.5</v>
      </c>
      <c r="L24" s="150">
        <f t="shared" si="5"/>
        <v>-35.5</v>
      </c>
      <c r="M24" s="150">
        <f t="shared" si="5"/>
        <v>-35.5</v>
      </c>
      <c r="N24" s="150">
        <f t="shared" si="5"/>
        <v>-3113.5</v>
      </c>
    </row>
    <row r="25" spans="1:14" x14ac:dyDescent="0.25">
      <c r="A25" s="151" t="s">
        <v>199</v>
      </c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</row>
    <row r="26" spans="1:14" x14ac:dyDescent="0.25">
      <c r="A26" s="153" t="s">
        <v>202</v>
      </c>
      <c r="B26" s="152"/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</row>
    <row r="27" spans="1:14" x14ac:dyDescent="0.25">
      <c r="A27" s="154" t="s">
        <v>230</v>
      </c>
      <c r="B27" s="155">
        <v>0</v>
      </c>
      <c r="C27" s="155">
        <v>0</v>
      </c>
      <c r="D27" s="155">
        <v>0</v>
      </c>
      <c r="E27" s="155">
        <v>0</v>
      </c>
      <c r="F27" s="155">
        <v>0</v>
      </c>
      <c r="G27" s="155">
        <v>0</v>
      </c>
      <c r="H27" s="155">
        <v>0</v>
      </c>
      <c r="I27" s="155">
        <v>0</v>
      </c>
      <c r="J27" s="155">
        <v>0</v>
      </c>
      <c r="K27" s="155">
        <v>0</v>
      </c>
      <c r="L27" s="155">
        <v>0</v>
      </c>
      <c r="M27" s="155">
        <v>0</v>
      </c>
      <c r="N27" s="155">
        <f t="shared" ref="N27" si="6">SUM(B27:M27)</f>
        <v>0</v>
      </c>
    </row>
    <row r="28" spans="1:14" x14ac:dyDescent="0.25">
      <c r="A28" s="156" t="s">
        <v>203</v>
      </c>
      <c r="B28" s="157">
        <f t="shared" ref="B28:N29" si="7">SUM(B27)</f>
        <v>0</v>
      </c>
      <c r="C28" s="157">
        <f t="shared" si="7"/>
        <v>0</v>
      </c>
      <c r="D28" s="157">
        <f t="shared" si="7"/>
        <v>0</v>
      </c>
      <c r="E28" s="157">
        <f t="shared" si="7"/>
        <v>0</v>
      </c>
      <c r="F28" s="157">
        <f t="shared" si="7"/>
        <v>0</v>
      </c>
      <c r="G28" s="157">
        <f t="shared" si="7"/>
        <v>0</v>
      </c>
      <c r="H28" s="157">
        <f t="shared" si="7"/>
        <v>0</v>
      </c>
      <c r="I28" s="157">
        <f t="shared" si="7"/>
        <v>0</v>
      </c>
      <c r="J28" s="157">
        <f t="shared" si="7"/>
        <v>0</v>
      </c>
      <c r="K28" s="157">
        <f t="shared" si="7"/>
        <v>0</v>
      </c>
      <c r="L28" s="157">
        <f t="shared" si="7"/>
        <v>0</v>
      </c>
      <c r="M28" s="157">
        <f t="shared" si="7"/>
        <v>0</v>
      </c>
      <c r="N28" s="157">
        <f t="shared" si="7"/>
        <v>0</v>
      </c>
    </row>
    <row r="29" spans="1:14" x14ac:dyDescent="0.25">
      <c r="A29" s="158" t="s">
        <v>206</v>
      </c>
      <c r="B29" s="157">
        <f t="shared" si="7"/>
        <v>0</v>
      </c>
      <c r="C29" s="157">
        <f t="shared" si="7"/>
        <v>0</v>
      </c>
      <c r="D29" s="157">
        <f t="shared" si="7"/>
        <v>0</v>
      </c>
      <c r="E29" s="157">
        <f t="shared" si="7"/>
        <v>0</v>
      </c>
      <c r="F29" s="157">
        <f t="shared" si="7"/>
        <v>0</v>
      </c>
      <c r="G29" s="157">
        <f t="shared" si="7"/>
        <v>0</v>
      </c>
      <c r="H29" s="157">
        <f t="shared" si="7"/>
        <v>0</v>
      </c>
      <c r="I29" s="157">
        <f t="shared" si="7"/>
        <v>0</v>
      </c>
      <c r="J29" s="157">
        <f t="shared" si="7"/>
        <v>0</v>
      </c>
      <c r="K29" s="157">
        <f t="shared" si="7"/>
        <v>0</v>
      </c>
      <c r="L29" s="157">
        <f t="shared" si="7"/>
        <v>0</v>
      </c>
      <c r="M29" s="157">
        <f t="shared" si="7"/>
        <v>0</v>
      </c>
      <c r="N29" s="157">
        <f t="shared" si="7"/>
        <v>0</v>
      </c>
    </row>
    <row r="30" spans="1:14" x14ac:dyDescent="0.25">
      <c r="A30" s="149" t="s">
        <v>31</v>
      </c>
      <c r="B30" s="150">
        <f t="shared" ref="B30:N30" si="8">B24+B29+0</f>
        <v>-423</v>
      </c>
      <c r="C30" s="150">
        <f t="shared" si="8"/>
        <v>-35.5</v>
      </c>
      <c r="D30" s="150">
        <f t="shared" si="8"/>
        <v>-775.5</v>
      </c>
      <c r="E30" s="150">
        <f t="shared" si="8"/>
        <v>-255.5</v>
      </c>
      <c r="F30" s="150">
        <f t="shared" si="8"/>
        <v>-275.5</v>
      </c>
      <c r="G30" s="150">
        <f t="shared" si="8"/>
        <v>-260.5</v>
      </c>
      <c r="H30" s="150">
        <f t="shared" si="8"/>
        <v>-210.5</v>
      </c>
      <c r="I30" s="150">
        <f t="shared" si="8"/>
        <v>-255.5</v>
      </c>
      <c r="J30" s="150">
        <f t="shared" si="8"/>
        <v>-275.5</v>
      </c>
      <c r="K30" s="150">
        <f t="shared" si="8"/>
        <v>-275.5</v>
      </c>
      <c r="L30" s="150">
        <f t="shared" si="8"/>
        <v>-35.5</v>
      </c>
      <c r="M30" s="150">
        <f t="shared" si="8"/>
        <v>-35.5</v>
      </c>
      <c r="N30" s="150">
        <f t="shared" si="8"/>
        <v>-3113.5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40B91-2412-4C44-882B-6A0B9B915488}">
  <sheetPr codeName="Sheet14">
    <tabColor rgb="FFFFFF00"/>
  </sheetPr>
  <dimension ref="A1:Q43"/>
  <sheetViews>
    <sheetView topLeftCell="A15" zoomScale="111" workbookViewId="0">
      <selection activeCell="N26" sqref="N26"/>
    </sheetView>
  </sheetViews>
  <sheetFormatPr defaultColWidth="6.5" defaultRowHeight="15.75" x14ac:dyDescent="0.25"/>
  <cols>
    <col min="1" max="1" width="50.75" bestFit="1" customWidth="1"/>
    <col min="2" max="13" width="8" customWidth="1"/>
    <col min="14" max="14" width="9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350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351</v>
      </c>
      <c r="B11" s="155">
        <v>0</v>
      </c>
      <c r="C11" s="155">
        <v>0</v>
      </c>
      <c r="D11" s="155">
        <v>0</v>
      </c>
      <c r="E11" s="155">
        <v>500</v>
      </c>
      <c r="F11" s="155">
        <v>0</v>
      </c>
      <c r="G11" s="155">
        <v>500</v>
      </c>
      <c r="H11" s="155">
        <v>0</v>
      </c>
      <c r="I11" s="155">
        <v>0</v>
      </c>
      <c r="J11" s="155">
        <v>500</v>
      </c>
      <c r="K11" s="155">
        <v>0</v>
      </c>
      <c r="L11" s="155">
        <v>0</v>
      </c>
      <c r="M11" s="155">
        <v>0</v>
      </c>
      <c r="N11" s="155">
        <f t="shared" ref="N11:N13" si="1">SUM(B11:M11)</f>
        <v>1500</v>
      </c>
    </row>
    <row r="12" spans="1:14" x14ac:dyDescent="0.25">
      <c r="A12" s="154" t="s">
        <v>352</v>
      </c>
      <c r="B12" s="155" t="s">
        <v>65</v>
      </c>
      <c r="C12" s="155">
        <v>0</v>
      </c>
      <c r="D12" s="155">
        <v>0</v>
      </c>
      <c r="E12" s="155">
        <v>0</v>
      </c>
      <c r="F12" s="155">
        <v>7000</v>
      </c>
      <c r="G12" s="155">
        <v>0</v>
      </c>
      <c r="H12" s="155">
        <v>0</v>
      </c>
      <c r="I12" s="155">
        <v>7000</v>
      </c>
      <c r="J12" s="155">
        <v>7000</v>
      </c>
      <c r="K12" s="155">
        <v>0</v>
      </c>
      <c r="L12" s="155">
        <v>0</v>
      </c>
      <c r="M12" s="155">
        <v>0</v>
      </c>
      <c r="N12" s="155">
        <f t="shared" ref="N12" si="2">SUM(B12:M12)</f>
        <v>21000</v>
      </c>
    </row>
    <row r="13" spans="1:14" x14ac:dyDescent="0.25">
      <c r="A13" s="154" t="s">
        <v>344</v>
      </c>
      <c r="B13" s="155">
        <v>1500</v>
      </c>
      <c r="C13" s="155">
        <v>1000</v>
      </c>
      <c r="D13" s="155">
        <v>0</v>
      </c>
      <c r="E13" s="155">
        <v>0</v>
      </c>
      <c r="F13" s="155">
        <v>0</v>
      </c>
      <c r="G13" s="155">
        <v>500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f t="shared" si="1"/>
        <v>3000</v>
      </c>
    </row>
    <row r="14" spans="1:14" x14ac:dyDescent="0.25">
      <c r="A14" s="154" t="s">
        <v>353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ref="N14:N26" si="3">SUM(B14:M14)</f>
        <v>0</v>
      </c>
    </row>
    <row r="15" spans="1:14" x14ac:dyDescent="0.25">
      <c r="A15" s="154" t="s">
        <v>336</v>
      </c>
      <c r="B15" s="155">
        <v>2250</v>
      </c>
      <c r="C15" s="155">
        <v>2250</v>
      </c>
      <c r="D15" s="155">
        <v>2250</v>
      </c>
      <c r="E15" s="155">
        <v>2250</v>
      </c>
      <c r="F15" s="155">
        <v>2250</v>
      </c>
      <c r="G15" s="155">
        <v>2250</v>
      </c>
      <c r="H15" s="155">
        <v>2250</v>
      </c>
      <c r="I15" s="155">
        <v>2250</v>
      </c>
      <c r="J15" s="155">
        <v>2250</v>
      </c>
      <c r="K15" s="155">
        <v>2250</v>
      </c>
      <c r="L15" s="155">
        <v>12250</v>
      </c>
      <c r="M15" s="155">
        <v>2250</v>
      </c>
      <c r="N15" s="155">
        <f t="shared" si="3"/>
        <v>37000</v>
      </c>
    </row>
    <row r="16" spans="1:14" x14ac:dyDescent="0.25">
      <c r="A16" s="154" t="s">
        <v>27</v>
      </c>
      <c r="B16" s="155">
        <v>0</v>
      </c>
      <c r="C16" s="155">
        <v>100</v>
      </c>
      <c r="D16" s="155">
        <v>100</v>
      </c>
      <c r="E16" s="155">
        <v>100</v>
      </c>
      <c r="F16" s="155">
        <v>100</v>
      </c>
      <c r="G16" s="155">
        <v>100</v>
      </c>
      <c r="H16" s="155">
        <v>100</v>
      </c>
      <c r="I16" s="155">
        <v>100</v>
      </c>
      <c r="J16" s="155">
        <v>100</v>
      </c>
      <c r="K16" s="155">
        <v>100</v>
      </c>
      <c r="L16" s="155">
        <v>100</v>
      </c>
      <c r="M16" s="155">
        <v>0</v>
      </c>
      <c r="N16" s="155">
        <f t="shared" si="3"/>
        <v>1000</v>
      </c>
    </row>
    <row r="17" spans="1:17" x14ac:dyDescent="0.25">
      <c r="A17" s="154" t="s">
        <v>212</v>
      </c>
      <c r="B17" s="155">
        <v>515</v>
      </c>
      <c r="C17" s="155">
        <v>515</v>
      </c>
      <c r="D17" s="155">
        <v>515</v>
      </c>
      <c r="E17" s="155">
        <v>515</v>
      </c>
      <c r="F17" s="155">
        <v>515</v>
      </c>
      <c r="G17" s="155">
        <v>515</v>
      </c>
      <c r="H17" s="155">
        <v>515</v>
      </c>
      <c r="I17" s="155">
        <v>515</v>
      </c>
      <c r="J17" s="155">
        <v>515</v>
      </c>
      <c r="K17" s="155">
        <v>515</v>
      </c>
      <c r="L17" s="155">
        <v>515</v>
      </c>
      <c r="M17" s="155">
        <v>515</v>
      </c>
      <c r="N17" s="155">
        <f t="shared" si="3"/>
        <v>6180</v>
      </c>
    </row>
    <row r="18" spans="1:17" x14ac:dyDescent="0.25">
      <c r="A18" s="154" t="s">
        <v>329</v>
      </c>
      <c r="B18" s="155">
        <v>0</v>
      </c>
      <c r="C18" s="155">
        <v>0</v>
      </c>
      <c r="D18" s="155">
        <v>500</v>
      </c>
      <c r="E18" s="155">
        <v>500</v>
      </c>
      <c r="F18" s="155">
        <v>0</v>
      </c>
      <c r="G18" s="155">
        <v>0</v>
      </c>
      <c r="H18" s="155">
        <v>0</v>
      </c>
      <c r="I18" s="155">
        <v>0</v>
      </c>
      <c r="J18" s="155">
        <v>0</v>
      </c>
      <c r="K18" s="155">
        <v>500</v>
      </c>
      <c r="L18" s="155">
        <v>500</v>
      </c>
      <c r="M18" s="155">
        <v>0</v>
      </c>
      <c r="N18" s="155">
        <f t="shared" si="3"/>
        <v>2000</v>
      </c>
    </row>
    <row r="19" spans="1:17" x14ac:dyDescent="0.25">
      <c r="A19" s="154" t="s">
        <v>214</v>
      </c>
      <c r="B19" s="155">
        <v>75.5</v>
      </c>
      <c r="C19" s="155">
        <v>75.5</v>
      </c>
      <c r="D19" s="155">
        <v>75.5</v>
      </c>
      <c r="E19" s="155">
        <v>75.5</v>
      </c>
      <c r="F19" s="155">
        <v>75.5</v>
      </c>
      <c r="G19" s="155">
        <v>75.5</v>
      </c>
      <c r="H19" s="155">
        <v>75.5</v>
      </c>
      <c r="I19" s="155">
        <v>75.5</v>
      </c>
      <c r="J19" s="155">
        <v>75.5</v>
      </c>
      <c r="K19" s="155">
        <v>75.5</v>
      </c>
      <c r="L19" s="155">
        <v>75.5</v>
      </c>
      <c r="M19" s="155">
        <v>75.5</v>
      </c>
      <c r="N19" s="155">
        <f t="shared" si="3"/>
        <v>906</v>
      </c>
    </row>
    <row r="20" spans="1:17" x14ac:dyDescent="0.25">
      <c r="A20" s="154" t="s">
        <v>264</v>
      </c>
      <c r="B20" s="155">
        <v>30</v>
      </c>
      <c r="C20" s="155">
        <v>30</v>
      </c>
      <c r="D20" s="155">
        <v>30</v>
      </c>
      <c r="E20" s="155">
        <v>30</v>
      </c>
      <c r="F20" s="155">
        <v>30</v>
      </c>
      <c r="G20" s="155">
        <v>30</v>
      </c>
      <c r="H20" s="155">
        <v>30</v>
      </c>
      <c r="I20" s="155">
        <v>30</v>
      </c>
      <c r="J20" s="155">
        <v>30</v>
      </c>
      <c r="K20" s="155">
        <v>30</v>
      </c>
      <c r="L20" s="155">
        <v>30</v>
      </c>
      <c r="M20" s="155">
        <v>30</v>
      </c>
      <c r="N20" s="155">
        <f t="shared" si="3"/>
        <v>360</v>
      </c>
    </row>
    <row r="21" spans="1:17" x14ac:dyDescent="0.25">
      <c r="A21" s="154" t="s">
        <v>265</v>
      </c>
      <c r="B21" s="155">
        <v>1000</v>
      </c>
      <c r="C21" s="155">
        <v>0</v>
      </c>
      <c r="D21" s="155">
        <v>0</v>
      </c>
      <c r="E21" s="155">
        <v>0</v>
      </c>
      <c r="F21" s="155">
        <v>0</v>
      </c>
      <c r="G21" s="155">
        <v>0</v>
      </c>
      <c r="H21" s="155">
        <v>125</v>
      </c>
      <c r="I21" s="155">
        <v>0</v>
      </c>
      <c r="J21" s="155">
        <v>0</v>
      </c>
      <c r="K21" s="155">
        <v>0</v>
      </c>
      <c r="L21" s="155">
        <v>0</v>
      </c>
      <c r="M21" s="155">
        <v>0</v>
      </c>
      <c r="N21" s="155">
        <f t="shared" si="3"/>
        <v>1125</v>
      </c>
    </row>
    <row r="22" spans="1:17" x14ac:dyDescent="0.25">
      <c r="A22" s="154" t="s">
        <v>330</v>
      </c>
      <c r="B22" s="155">
        <v>0</v>
      </c>
      <c r="C22" s="155">
        <v>80</v>
      </c>
      <c r="D22" s="155">
        <v>0</v>
      </c>
      <c r="E22" s="155">
        <v>0</v>
      </c>
      <c r="F22" s="155">
        <v>0</v>
      </c>
      <c r="G22" s="155">
        <v>0</v>
      </c>
      <c r="H22" s="155">
        <v>80</v>
      </c>
      <c r="I22" s="155">
        <v>0</v>
      </c>
      <c r="J22" s="155">
        <v>0</v>
      </c>
      <c r="K22" s="155">
        <v>0</v>
      </c>
      <c r="L22" s="155">
        <v>0</v>
      </c>
      <c r="M22" s="155">
        <v>0</v>
      </c>
      <c r="N22" s="155">
        <f t="shared" si="3"/>
        <v>160</v>
      </c>
    </row>
    <row r="23" spans="1:17" x14ac:dyDescent="0.25">
      <c r="A23" s="154" t="s">
        <v>267</v>
      </c>
      <c r="B23" s="155">
        <v>500</v>
      </c>
      <c r="C23" s="155">
        <v>0</v>
      </c>
      <c r="D23" s="155">
        <v>0</v>
      </c>
      <c r="E23" s="155">
        <v>0</v>
      </c>
      <c r="F23" s="155">
        <v>0</v>
      </c>
      <c r="G23" s="155">
        <v>0</v>
      </c>
      <c r="H23" s="155">
        <v>0</v>
      </c>
      <c r="I23" s="155">
        <v>0</v>
      </c>
      <c r="J23" s="155">
        <v>0</v>
      </c>
      <c r="K23" s="155">
        <v>0</v>
      </c>
      <c r="L23" s="155">
        <v>0</v>
      </c>
      <c r="M23" s="155">
        <v>0</v>
      </c>
      <c r="N23" s="155">
        <f t="shared" si="3"/>
        <v>500</v>
      </c>
    </row>
    <row r="24" spans="1:17" x14ac:dyDescent="0.25">
      <c r="A24" s="154" t="s">
        <v>347</v>
      </c>
      <c r="B24" s="155">
        <v>0</v>
      </c>
      <c r="C24" s="155">
        <v>70</v>
      </c>
      <c r="D24" s="155">
        <v>70</v>
      </c>
      <c r="E24" s="155">
        <v>70</v>
      </c>
      <c r="F24" s="155">
        <v>70</v>
      </c>
      <c r="G24" s="155">
        <v>70</v>
      </c>
      <c r="H24" s="155">
        <v>70</v>
      </c>
      <c r="I24" s="155">
        <v>70</v>
      </c>
      <c r="J24" s="155">
        <v>70</v>
      </c>
      <c r="K24" s="155">
        <v>70</v>
      </c>
      <c r="L24" s="155">
        <v>70</v>
      </c>
      <c r="M24" s="155">
        <v>0</v>
      </c>
      <c r="N24" s="155">
        <f t="shared" si="3"/>
        <v>700</v>
      </c>
      <c r="Q24" s="174"/>
    </row>
    <row r="25" spans="1:17" x14ac:dyDescent="0.25">
      <c r="A25" s="154" t="s">
        <v>270</v>
      </c>
      <c r="B25" s="155">
        <v>32</v>
      </c>
      <c r="C25" s="155">
        <v>32</v>
      </c>
      <c r="D25" s="155">
        <v>32</v>
      </c>
      <c r="E25" s="155">
        <v>32</v>
      </c>
      <c r="F25" s="155">
        <v>32</v>
      </c>
      <c r="G25" s="155">
        <v>32</v>
      </c>
      <c r="H25" s="155">
        <v>32</v>
      </c>
      <c r="I25" s="155">
        <v>32</v>
      </c>
      <c r="J25" s="155">
        <v>32</v>
      </c>
      <c r="K25" s="155">
        <v>32</v>
      </c>
      <c r="L25" s="155">
        <v>32</v>
      </c>
      <c r="M25" s="155">
        <v>32</v>
      </c>
      <c r="N25" s="155">
        <f t="shared" si="3"/>
        <v>384</v>
      </c>
    </row>
    <row r="26" spans="1:17" x14ac:dyDescent="0.25">
      <c r="A26" s="154" t="s">
        <v>340</v>
      </c>
      <c r="B26" s="155">
        <v>0</v>
      </c>
      <c r="C26" s="155">
        <v>0</v>
      </c>
      <c r="D26" s="155">
        <v>0</v>
      </c>
      <c r="E26" s="155">
        <v>0</v>
      </c>
      <c r="F26" s="155">
        <v>0</v>
      </c>
      <c r="G26" s="155">
        <v>0</v>
      </c>
      <c r="H26" s="155">
        <v>0</v>
      </c>
      <c r="I26" s="155">
        <v>0</v>
      </c>
      <c r="J26" s="155">
        <v>0</v>
      </c>
      <c r="K26" s="155">
        <v>0</v>
      </c>
      <c r="L26" s="155">
        <v>0</v>
      </c>
      <c r="M26" s="155">
        <v>8000</v>
      </c>
      <c r="N26" s="155">
        <f t="shared" si="3"/>
        <v>8000</v>
      </c>
    </row>
    <row r="27" spans="1:17" x14ac:dyDescent="0.25">
      <c r="A27" s="156" t="s">
        <v>196</v>
      </c>
      <c r="B27" s="157">
        <f t="shared" ref="B27:N27" si="4">SUM(B11:B26)</f>
        <v>5902.5</v>
      </c>
      <c r="C27" s="157">
        <f t="shared" si="4"/>
        <v>4152.5</v>
      </c>
      <c r="D27" s="157">
        <f t="shared" si="4"/>
        <v>3572.5</v>
      </c>
      <c r="E27" s="157">
        <f t="shared" si="4"/>
        <v>4072.5</v>
      </c>
      <c r="F27" s="157">
        <f t="shared" si="4"/>
        <v>10072.5</v>
      </c>
      <c r="G27" s="157">
        <f t="shared" si="4"/>
        <v>4072.5</v>
      </c>
      <c r="H27" s="157">
        <f t="shared" si="4"/>
        <v>3277.5</v>
      </c>
      <c r="I27" s="157">
        <f t="shared" si="4"/>
        <v>10072.5</v>
      </c>
      <c r="J27" s="157">
        <f t="shared" si="4"/>
        <v>10572.5</v>
      </c>
      <c r="K27" s="157">
        <f t="shared" si="4"/>
        <v>3572.5</v>
      </c>
      <c r="L27" s="157">
        <f t="shared" si="4"/>
        <v>13572.5</v>
      </c>
      <c r="M27" s="157">
        <f t="shared" si="4"/>
        <v>10902.5</v>
      </c>
      <c r="N27" s="157">
        <f t="shared" si="4"/>
        <v>83815</v>
      </c>
    </row>
    <row r="28" spans="1:17" x14ac:dyDescent="0.25">
      <c r="A28" s="153" t="s">
        <v>222</v>
      </c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</row>
    <row r="29" spans="1:17" x14ac:dyDescent="0.25">
      <c r="A29" s="154" t="s">
        <v>223</v>
      </c>
      <c r="B29" s="155">
        <v>2079.7363108949412</v>
      </c>
      <c r="C29" s="155">
        <v>2189.1961167315171</v>
      </c>
      <c r="D29" s="155">
        <v>2298.655922568093</v>
      </c>
      <c r="E29" s="155">
        <v>2408.115728404669</v>
      </c>
      <c r="F29" s="155">
        <v>2517.5755342412449</v>
      </c>
      <c r="G29" s="155">
        <v>2189.1961167315171</v>
      </c>
      <c r="H29" s="155">
        <v>2517.5755342412449</v>
      </c>
      <c r="I29" s="155">
        <v>2408.115728404669</v>
      </c>
      <c r="J29" s="155">
        <v>2298.655922568093</v>
      </c>
      <c r="K29" s="155">
        <v>2517.5755342412449</v>
      </c>
      <c r="L29" s="155">
        <v>2298.655922568093</v>
      </c>
      <c r="M29" s="155">
        <v>2408.115728404669</v>
      </c>
      <c r="N29" s="155">
        <f>SUM(B29:M29)</f>
        <v>28131.170099999996</v>
      </c>
    </row>
    <row r="30" spans="1:17" x14ac:dyDescent="0.25">
      <c r="A30" s="154" t="s">
        <v>224</v>
      </c>
      <c r="B30" s="155">
        <v>261.96630315578403</v>
      </c>
      <c r="C30" s="155">
        <v>275.75400332187797</v>
      </c>
      <c r="D30" s="155">
        <v>289.54170348797186</v>
      </c>
      <c r="E30" s="155">
        <v>303.32940365406574</v>
      </c>
      <c r="F30" s="155">
        <v>317.11710382015968</v>
      </c>
      <c r="G30" s="155">
        <v>275.75400332187797</v>
      </c>
      <c r="H30" s="155">
        <v>317.11710382015968</v>
      </c>
      <c r="I30" s="155">
        <v>303.32940365406574</v>
      </c>
      <c r="J30" s="155">
        <v>289.54170348797186</v>
      </c>
      <c r="K30" s="155">
        <v>317.11710382015968</v>
      </c>
      <c r="L30" s="155">
        <v>289.54170348797186</v>
      </c>
      <c r="M30" s="155">
        <v>303.32940365406574</v>
      </c>
      <c r="N30" s="155">
        <f t="shared" ref="N30:N33" si="5">SUM(B30:M30)</f>
        <v>3543.4389426861317</v>
      </c>
    </row>
    <row r="31" spans="1:17" x14ac:dyDescent="0.25">
      <c r="A31" s="154" t="s">
        <v>225</v>
      </c>
      <c r="B31" s="155">
        <v>22.037157693788522</v>
      </c>
      <c r="C31" s="155">
        <v>23.197008098724758</v>
      </c>
      <c r="D31" s="155">
        <v>24.356858503660998</v>
      </c>
      <c r="E31" s="155">
        <v>25.516708908597234</v>
      </c>
      <c r="F31" s="155">
        <v>26.67655931353347</v>
      </c>
      <c r="G31" s="155">
        <v>23.197008098724758</v>
      </c>
      <c r="H31" s="155">
        <v>26.67655931353347</v>
      </c>
      <c r="I31" s="155">
        <v>25.516708908597234</v>
      </c>
      <c r="J31" s="155">
        <v>24.356858503660998</v>
      </c>
      <c r="K31" s="155">
        <v>26.67655931353347</v>
      </c>
      <c r="L31" s="155">
        <v>24.356858503660998</v>
      </c>
      <c r="M31" s="155">
        <v>25.516708908597234</v>
      </c>
      <c r="N31" s="155">
        <f t="shared" si="5"/>
        <v>298.08155406861312</v>
      </c>
    </row>
    <row r="32" spans="1:17" x14ac:dyDescent="0.25">
      <c r="A32" s="154" t="s">
        <v>226</v>
      </c>
      <c r="B32" s="155">
        <v>187.97109120516106</v>
      </c>
      <c r="C32" s="155">
        <v>197.86430653174847</v>
      </c>
      <c r="D32" s="155">
        <v>207.75752185833588</v>
      </c>
      <c r="E32" s="155">
        <v>217.65073718492332</v>
      </c>
      <c r="F32" s="155">
        <v>227.54395251151075</v>
      </c>
      <c r="G32" s="155">
        <v>197.86430653174847</v>
      </c>
      <c r="H32" s="155">
        <v>227.54395251151075</v>
      </c>
      <c r="I32" s="155">
        <v>217.65073718492332</v>
      </c>
      <c r="J32" s="155">
        <v>207.75752185833588</v>
      </c>
      <c r="K32" s="155">
        <v>227.54395251151075</v>
      </c>
      <c r="L32" s="155">
        <v>207.75752185833588</v>
      </c>
      <c r="M32" s="155">
        <v>217.65073718492332</v>
      </c>
      <c r="N32" s="155">
        <f t="shared" si="5"/>
        <v>2542.5563389329682</v>
      </c>
    </row>
    <row r="33" spans="1:14" x14ac:dyDescent="0.25">
      <c r="A33" s="154" t="s">
        <v>227</v>
      </c>
      <c r="B33" s="155">
        <v>51.993407772373537</v>
      </c>
      <c r="C33" s="155">
        <v>54.729902918287934</v>
      </c>
      <c r="D33" s="155">
        <v>57.466398064202323</v>
      </c>
      <c r="E33" s="155">
        <v>60.20289321011672</v>
      </c>
      <c r="F33" s="155">
        <v>62.939388356031117</v>
      </c>
      <c r="G33" s="155">
        <v>54.729902918287934</v>
      </c>
      <c r="H33" s="155">
        <v>62.939388356031117</v>
      </c>
      <c r="I33" s="155">
        <v>60.20289321011672</v>
      </c>
      <c r="J33" s="155">
        <v>57.466398064202323</v>
      </c>
      <c r="K33" s="155">
        <v>62.939388356031117</v>
      </c>
      <c r="L33" s="155">
        <v>57.466398064202323</v>
      </c>
      <c r="M33" s="155">
        <v>60.20289321011672</v>
      </c>
      <c r="N33" s="155">
        <f t="shared" si="5"/>
        <v>703.27925249999987</v>
      </c>
    </row>
    <row r="34" spans="1:14" x14ac:dyDescent="0.25">
      <c r="A34" s="156" t="s">
        <v>228</v>
      </c>
      <c r="B34" s="157">
        <f t="shared" ref="B34:N34" si="6">SUM(B29:B33)</f>
        <v>2603.7042707220485</v>
      </c>
      <c r="C34" s="157">
        <f t="shared" si="6"/>
        <v>2740.7413376021559</v>
      </c>
      <c r="D34" s="157">
        <f t="shared" si="6"/>
        <v>2877.7784044822642</v>
      </c>
      <c r="E34" s="157">
        <f t="shared" si="6"/>
        <v>3014.8154713623717</v>
      </c>
      <c r="F34" s="157">
        <f t="shared" si="6"/>
        <v>3151.8525382424796</v>
      </c>
      <c r="G34" s="157">
        <f t="shared" si="6"/>
        <v>2740.7413376021559</v>
      </c>
      <c r="H34" s="157">
        <f t="shared" si="6"/>
        <v>3151.8525382424796</v>
      </c>
      <c r="I34" s="157">
        <f t="shared" si="6"/>
        <v>3014.8154713623717</v>
      </c>
      <c r="J34" s="157">
        <f t="shared" si="6"/>
        <v>2877.7784044822642</v>
      </c>
      <c r="K34" s="157">
        <f t="shared" si="6"/>
        <v>3151.8525382424796</v>
      </c>
      <c r="L34" s="157">
        <f t="shared" si="6"/>
        <v>2877.7784044822642</v>
      </c>
      <c r="M34" s="157">
        <f t="shared" si="6"/>
        <v>3014.8154713623717</v>
      </c>
      <c r="N34" s="157">
        <f t="shared" si="6"/>
        <v>35218.526188187701</v>
      </c>
    </row>
    <row r="35" spans="1:14" x14ac:dyDescent="0.25">
      <c r="A35" s="158" t="s">
        <v>197</v>
      </c>
      <c r="B35" s="157">
        <f t="shared" ref="B35:N35" si="7">SUM(B27,B34)</f>
        <v>8506.204270722048</v>
      </c>
      <c r="C35" s="157">
        <f t="shared" si="7"/>
        <v>6893.2413376021559</v>
      </c>
      <c r="D35" s="157">
        <f t="shared" si="7"/>
        <v>6450.2784044822638</v>
      </c>
      <c r="E35" s="157">
        <f t="shared" si="7"/>
        <v>7087.3154713623717</v>
      </c>
      <c r="F35" s="157">
        <f t="shared" si="7"/>
        <v>13224.35253824248</v>
      </c>
      <c r="G35" s="157">
        <f t="shared" si="7"/>
        <v>6813.2413376021559</v>
      </c>
      <c r="H35" s="157">
        <f t="shared" si="7"/>
        <v>6429.3525382424796</v>
      </c>
      <c r="I35" s="157">
        <f t="shared" si="7"/>
        <v>13087.315471362372</v>
      </c>
      <c r="J35" s="157">
        <f t="shared" si="7"/>
        <v>13450.278404482264</v>
      </c>
      <c r="K35" s="157">
        <f t="shared" si="7"/>
        <v>6724.3525382424796</v>
      </c>
      <c r="L35" s="157">
        <f t="shared" si="7"/>
        <v>16450.278404482266</v>
      </c>
      <c r="M35" s="157">
        <f t="shared" si="7"/>
        <v>13917.315471362372</v>
      </c>
      <c r="N35" s="157">
        <f t="shared" si="7"/>
        <v>119033.52618818771</v>
      </c>
    </row>
    <row r="36" spans="1:14" x14ac:dyDescent="0.25">
      <c r="A36" s="149" t="s">
        <v>198</v>
      </c>
      <c r="B36" s="150">
        <f t="shared" ref="B36:N36" si="8">B8-B35</f>
        <v>-8506.204270722048</v>
      </c>
      <c r="C36" s="150">
        <f t="shared" si="8"/>
        <v>-6893.2413376021559</v>
      </c>
      <c r="D36" s="150">
        <f t="shared" si="8"/>
        <v>-6450.2784044822638</v>
      </c>
      <c r="E36" s="150">
        <f t="shared" si="8"/>
        <v>-7087.3154713623717</v>
      </c>
      <c r="F36" s="150">
        <f t="shared" si="8"/>
        <v>-13224.35253824248</v>
      </c>
      <c r="G36" s="150">
        <f t="shared" si="8"/>
        <v>-6813.2413376021559</v>
      </c>
      <c r="H36" s="150">
        <f t="shared" si="8"/>
        <v>-6429.3525382424796</v>
      </c>
      <c r="I36" s="150">
        <f t="shared" si="8"/>
        <v>-13087.315471362372</v>
      </c>
      <c r="J36" s="150">
        <f t="shared" si="8"/>
        <v>-13450.278404482264</v>
      </c>
      <c r="K36" s="150">
        <f t="shared" si="8"/>
        <v>-6724.3525382424796</v>
      </c>
      <c r="L36" s="150">
        <f t="shared" si="8"/>
        <v>-16450.278404482266</v>
      </c>
      <c r="M36" s="150">
        <f t="shared" si="8"/>
        <v>-13917.315471362372</v>
      </c>
      <c r="N36" s="150">
        <f t="shared" si="8"/>
        <v>-119033.52618818771</v>
      </c>
    </row>
    <row r="37" spans="1:14" x14ac:dyDescent="0.25">
      <c r="A37" s="151" t="s">
        <v>199</v>
      </c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</row>
    <row r="38" spans="1:14" x14ac:dyDescent="0.25">
      <c r="A38" s="153" t="s">
        <v>202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</row>
    <row r="39" spans="1:14" x14ac:dyDescent="0.25">
      <c r="A39" s="154" t="s">
        <v>332</v>
      </c>
      <c r="B39" s="155">
        <v>0</v>
      </c>
      <c r="C39" s="155">
        <v>0</v>
      </c>
      <c r="D39" s="155">
        <v>0</v>
      </c>
      <c r="E39" s="155">
        <v>0</v>
      </c>
      <c r="F39" s="155">
        <v>0</v>
      </c>
      <c r="G39" s="155">
        <v>0</v>
      </c>
      <c r="H39" s="155">
        <v>0</v>
      </c>
      <c r="I39" s="155">
        <v>0</v>
      </c>
      <c r="J39" s="155">
        <v>0</v>
      </c>
      <c r="K39" s="155">
        <v>0</v>
      </c>
      <c r="L39" s="155">
        <v>0</v>
      </c>
      <c r="M39" s="155">
        <v>0</v>
      </c>
      <c r="N39" s="155">
        <f>SUM(B39:M39)</f>
        <v>0</v>
      </c>
    </row>
    <row r="40" spans="1:14" x14ac:dyDescent="0.25">
      <c r="A40" s="154" t="s">
        <v>230</v>
      </c>
      <c r="B40" s="155">
        <v>0</v>
      </c>
      <c r="C40" s="155">
        <v>0</v>
      </c>
      <c r="D40" s="155">
        <v>0</v>
      </c>
      <c r="E40" s="155">
        <v>0</v>
      </c>
      <c r="F40" s="155">
        <v>0</v>
      </c>
      <c r="G40" s="155">
        <v>0</v>
      </c>
      <c r="H40" s="155">
        <v>0</v>
      </c>
      <c r="I40" s="155">
        <v>0</v>
      </c>
      <c r="J40" s="155">
        <v>0</v>
      </c>
      <c r="K40" s="155">
        <v>0</v>
      </c>
      <c r="L40" s="155">
        <v>0</v>
      </c>
      <c r="M40" s="155">
        <v>0</v>
      </c>
      <c r="N40" s="155">
        <f>SUM(B40:M40)</f>
        <v>0</v>
      </c>
    </row>
    <row r="41" spans="1:14" x14ac:dyDescent="0.25">
      <c r="A41" s="156" t="s">
        <v>203</v>
      </c>
      <c r="B41" s="157">
        <f t="shared" ref="B41:N41" si="9">SUM(B39:B40)</f>
        <v>0</v>
      </c>
      <c r="C41" s="157">
        <f t="shared" si="9"/>
        <v>0</v>
      </c>
      <c r="D41" s="157">
        <f t="shared" si="9"/>
        <v>0</v>
      </c>
      <c r="E41" s="157">
        <f t="shared" si="9"/>
        <v>0</v>
      </c>
      <c r="F41" s="157">
        <f t="shared" si="9"/>
        <v>0</v>
      </c>
      <c r="G41" s="157">
        <f t="shared" si="9"/>
        <v>0</v>
      </c>
      <c r="H41" s="157">
        <f t="shared" si="9"/>
        <v>0</v>
      </c>
      <c r="I41" s="157">
        <f t="shared" si="9"/>
        <v>0</v>
      </c>
      <c r="J41" s="157">
        <f t="shared" si="9"/>
        <v>0</v>
      </c>
      <c r="K41" s="157">
        <f t="shared" si="9"/>
        <v>0</v>
      </c>
      <c r="L41" s="157">
        <f t="shared" si="9"/>
        <v>0</v>
      </c>
      <c r="M41" s="157">
        <f t="shared" si="9"/>
        <v>0</v>
      </c>
      <c r="N41" s="157">
        <f t="shared" si="9"/>
        <v>0</v>
      </c>
    </row>
    <row r="42" spans="1:14" x14ac:dyDescent="0.25">
      <c r="A42" s="158" t="s">
        <v>206</v>
      </c>
      <c r="B42" s="157">
        <f t="shared" ref="B42:N42" si="10">SUM(B41)</f>
        <v>0</v>
      </c>
      <c r="C42" s="157">
        <f t="shared" si="10"/>
        <v>0</v>
      </c>
      <c r="D42" s="157">
        <f t="shared" si="10"/>
        <v>0</v>
      </c>
      <c r="E42" s="157">
        <f t="shared" si="10"/>
        <v>0</v>
      </c>
      <c r="F42" s="157">
        <f t="shared" si="10"/>
        <v>0</v>
      </c>
      <c r="G42" s="157">
        <f t="shared" si="10"/>
        <v>0</v>
      </c>
      <c r="H42" s="157">
        <f t="shared" si="10"/>
        <v>0</v>
      </c>
      <c r="I42" s="157">
        <f t="shared" si="10"/>
        <v>0</v>
      </c>
      <c r="J42" s="157">
        <f t="shared" si="10"/>
        <v>0</v>
      </c>
      <c r="K42" s="157">
        <f t="shared" si="10"/>
        <v>0</v>
      </c>
      <c r="L42" s="157">
        <f t="shared" si="10"/>
        <v>0</v>
      </c>
      <c r="M42" s="157">
        <f t="shared" si="10"/>
        <v>0</v>
      </c>
      <c r="N42" s="157">
        <f t="shared" si="10"/>
        <v>0</v>
      </c>
    </row>
    <row r="43" spans="1:14" x14ac:dyDescent="0.25">
      <c r="A43" s="149" t="s">
        <v>31</v>
      </c>
      <c r="B43" s="150">
        <f t="shared" ref="B43:N43" si="11">B36+B42+0</f>
        <v>-8506.204270722048</v>
      </c>
      <c r="C43" s="150">
        <f t="shared" si="11"/>
        <v>-6893.2413376021559</v>
      </c>
      <c r="D43" s="150">
        <f t="shared" si="11"/>
        <v>-6450.2784044822638</v>
      </c>
      <c r="E43" s="150">
        <f t="shared" si="11"/>
        <v>-7087.3154713623717</v>
      </c>
      <c r="F43" s="150">
        <f t="shared" si="11"/>
        <v>-13224.35253824248</v>
      </c>
      <c r="G43" s="150">
        <f t="shared" si="11"/>
        <v>-6813.2413376021559</v>
      </c>
      <c r="H43" s="150">
        <f t="shared" si="11"/>
        <v>-6429.3525382424796</v>
      </c>
      <c r="I43" s="150">
        <f t="shared" si="11"/>
        <v>-13087.315471362372</v>
      </c>
      <c r="J43" s="150">
        <f t="shared" si="11"/>
        <v>-13450.278404482264</v>
      </c>
      <c r="K43" s="150">
        <f t="shared" si="11"/>
        <v>-6724.3525382424796</v>
      </c>
      <c r="L43" s="150">
        <f t="shared" si="11"/>
        <v>-16450.278404482266</v>
      </c>
      <c r="M43" s="150">
        <f t="shared" si="11"/>
        <v>-13917.315471362372</v>
      </c>
      <c r="N43" s="150">
        <f t="shared" si="11"/>
        <v>-119033.52618818771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711B6-2052-7E4B-9A6F-26950B942926}">
  <sheetPr codeName="Sheet15">
    <tabColor rgb="FFFFFF00"/>
  </sheetPr>
  <dimension ref="A1:N27"/>
  <sheetViews>
    <sheetView topLeftCell="A13" zoomScale="110" zoomScaleNormal="110" workbookViewId="0">
      <selection activeCell="C28" sqref="C28"/>
    </sheetView>
  </sheetViews>
  <sheetFormatPr defaultColWidth="6.5" defaultRowHeight="15.75" x14ac:dyDescent="0.25"/>
  <cols>
    <col min="1" max="1" width="46.125" bestFit="1" customWidth="1"/>
    <col min="2" max="2" width="7.25" bestFit="1" customWidth="1"/>
    <col min="3" max="3" width="9.875" customWidth="1"/>
    <col min="4" max="4" width="6.75" bestFit="1" customWidth="1"/>
    <col min="5" max="5" width="7.875" customWidth="1"/>
    <col min="6" max="6" width="6.875" bestFit="1" customWidth="1"/>
    <col min="7" max="7" width="8" customWidth="1"/>
    <col min="8" max="8" width="8.25" customWidth="1"/>
    <col min="9" max="9" width="6.75" bestFit="1" customWidth="1"/>
    <col min="10" max="10" width="7.25" bestFit="1" customWidth="1"/>
    <col min="11" max="11" width="7.875" customWidth="1"/>
    <col min="12" max="12" width="6.875" bestFit="1" customWidth="1"/>
    <col min="13" max="13" width="6.875" customWidth="1"/>
    <col min="14" max="14" width="10.5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354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335</v>
      </c>
      <c r="B11" s="155">
        <v>0</v>
      </c>
      <c r="C11" s="155">
        <v>200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7" si="1">SUM(B11:M11)</f>
        <v>200</v>
      </c>
    </row>
    <row r="12" spans="1:14" x14ac:dyDescent="0.25">
      <c r="A12" s="154" t="s">
        <v>344</v>
      </c>
      <c r="B12" s="155">
        <v>180</v>
      </c>
      <c r="C12" s="155">
        <v>150</v>
      </c>
      <c r="D12" s="155">
        <v>0</v>
      </c>
      <c r="E12" s="155">
        <v>0</v>
      </c>
      <c r="F12" s="155">
        <v>0</v>
      </c>
      <c r="G12" s="155">
        <v>130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460</v>
      </c>
    </row>
    <row r="13" spans="1:14" x14ac:dyDescent="0.25">
      <c r="A13" s="154" t="s">
        <v>345</v>
      </c>
      <c r="B13" s="155">
        <v>0</v>
      </c>
      <c r="C13" s="155">
        <v>0</v>
      </c>
      <c r="D13" s="155">
        <v>0</v>
      </c>
      <c r="E13" s="155">
        <v>300</v>
      </c>
      <c r="F13" s="155">
        <v>300</v>
      </c>
      <c r="G13" s="155">
        <v>300</v>
      </c>
      <c r="H13" s="155">
        <v>0</v>
      </c>
      <c r="I13" s="155">
        <v>300</v>
      </c>
      <c r="J13" s="155">
        <v>300</v>
      </c>
      <c r="K13" s="155">
        <v>300</v>
      </c>
      <c r="L13" s="155">
        <v>300</v>
      </c>
      <c r="M13" s="155">
        <v>0</v>
      </c>
      <c r="N13" s="155">
        <f t="shared" si="1"/>
        <v>2100</v>
      </c>
    </row>
    <row r="14" spans="1:14" x14ac:dyDescent="0.25">
      <c r="A14" s="154" t="s">
        <v>336</v>
      </c>
      <c r="B14" s="155">
        <v>0</v>
      </c>
      <c r="C14" s="155">
        <v>225</v>
      </c>
      <c r="D14" s="155">
        <v>200</v>
      </c>
      <c r="E14" s="155">
        <v>200</v>
      </c>
      <c r="F14" s="155">
        <v>200</v>
      </c>
      <c r="G14" s="155">
        <v>200</v>
      </c>
      <c r="H14" s="155">
        <v>200</v>
      </c>
      <c r="I14" s="155">
        <v>200</v>
      </c>
      <c r="J14" s="155">
        <v>200</v>
      </c>
      <c r="K14" s="155">
        <v>200</v>
      </c>
      <c r="L14" s="155">
        <v>200</v>
      </c>
      <c r="M14" s="155">
        <v>0</v>
      </c>
      <c r="N14" s="155">
        <f t="shared" si="1"/>
        <v>2025</v>
      </c>
    </row>
    <row r="15" spans="1:14" x14ac:dyDescent="0.25">
      <c r="A15" s="154" t="s">
        <v>264</v>
      </c>
      <c r="B15" s="155">
        <v>0</v>
      </c>
      <c r="C15" s="155">
        <v>85</v>
      </c>
      <c r="D15" s="155">
        <v>85</v>
      </c>
      <c r="E15" s="155">
        <v>85</v>
      </c>
      <c r="F15" s="155">
        <v>85</v>
      </c>
      <c r="G15" s="155">
        <v>85</v>
      </c>
      <c r="H15" s="155">
        <v>85</v>
      </c>
      <c r="I15" s="155">
        <v>85</v>
      </c>
      <c r="J15" s="155">
        <v>85</v>
      </c>
      <c r="K15" s="155">
        <v>85</v>
      </c>
      <c r="L15" s="155">
        <v>85</v>
      </c>
      <c r="M15" s="155">
        <v>0</v>
      </c>
      <c r="N15" s="155">
        <f t="shared" si="1"/>
        <v>850</v>
      </c>
    </row>
    <row r="16" spans="1:14" x14ac:dyDescent="0.25">
      <c r="A16" s="154" t="s">
        <v>267</v>
      </c>
      <c r="B16" s="155">
        <v>0</v>
      </c>
      <c r="C16" s="155">
        <v>500</v>
      </c>
      <c r="D16" s="155">
        <v>0</v>
      </c>
      <c r="E16" s="155">
        <v>0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si="1"/>
        <v>500</v>
      </c>
    </row>
    <row r="17" spans="1:14" x14ac:dyDescent="0.25">
      <c r="A17" s="154" t="s">
        <v>355</v>
      </c>
      <c r="B17" s="155">
        <v>0</v>
      </c>
      <c r="C17" s="155">
        <v>20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1"/>
        <v>20</v>
      </c>
    </row>
    <row r="18" spans="1:14" x14ac:dyDescent="0.25">
      <c r="A18" s="154" t="s">
        <v>270</v>
      </c>
      <c r="B18" s="155">
        <v>27</v>
      </c>
      <c r="C18" s="155">
        <v>27</v>
      </c>
      <c r="D18" s="155">
        <v>27</v>
      </c>
      <c r="E18" s="155">
        <v>27</v>
      </c>
      <c r="F18" s="155">
        <v>27</v>
      </c>
      <c r="G18" s="155">
        <v>27</v>
      </c>
      <c r="H18" s="155">
        <v>27</v>
      </c>
      <c r="I18" s="155">
        <v>27</v>
      </c>
      <c r="J18" s="155">
        <v>27</v>
      </c>
      <c r="K18" s="155">
        <v>27</v>
      </c>
      <c r="L18" s="155">
        <v>27</v>
      </c>
      <c r="M18" s="155">
        <v>27</v>
      </c>
      <c r="N18" s="155">
        <f t="shared" ref="N18" si="2">SUM(B18:M18)</f>
        <v>324</v>
      </c>
    </row>
    <row r="19" spans="1:14" x14ac:dyDescent="0.25">
      <c r="A19" s="156" t="s">
        <v>196</v>
      </c>
      <c r="B19" s="157">
        <f>SUM(B11:B18)</f>
        <v>207</v>
      </c>
      <c r="C19" s="157">
        <f t="shared" ref="C19:N19" si="3">SUM(C11:C18)</f>
        <v>1207</v>
      </c>
      <c r="D19" s="157">
        <f t="shared" si="3"/>
        <v>312</v>
      </c>
      <c r="E19" s="157">
        <f t="shared" si="3"/>
        <v>612</v>
      </c>
      <c r="F19" s="157">
        <f t="shared" si="3"/>
        <v>612</v>
      </c>
      <c r="G19" s="157">
        <f t="shared" si="3"/>
        <v>742</v>
      </c>
      <c r="H19" s="157">
        <f t="shared" si="3"/>
        <v>312</v>
      </c>
      <c r="I19" s="157">
        <f t="shared" si="3"/>
        <v>612</v>
      </c>
      <c r="J19" s="157">
        <f t="shared" si="3"/>
        <v>612</v>
      </c>
      <c r="K19" s="157">
        <f t="shared" si="3"/>
        <v>612</v>
      </c>
      <c r="L19" s="157">
        <f t="shared" si="3"/>
        <v>612</v>
      </c>
      <c r="M19" s="157">
        <f t="shared" si="3"/>
        <v>27</v>
      </c>
      <c r="N19" s="157">
        <f t="shared" si="3"/>
        <v>6479</v>
      </c>
    </row>
    <row r="20" spans="1:14" x14ac:dyDescent="0.25">
      <c r="A20" s="158" t="s">
        <v>197</v>
      </c>
      <c r="B20" s="157">
        <f t="shared" ref="B20:N20" si="4">SUM(B19)</f>
        <v>207</v>
      </c>
      <c r="C20" s="157">
        <f t="shared" ref="C20:M20" si="5">SUM(C19)</f>
        <v>1207</v>
      </c>
      <c r="D20" s="157">
        <f t="shared" si="5"/>
        <v>312</v>
      </c>
      <c r="E20" s="157">
        <f t="shared" si="5"/>
        <v>612</v>
      </c>
      <c r="F20" s="157">
        <f t="shared" si="5"/>
        <v>612</v>
      </c>
      <c r="G20" s="157">
        <f t="shared" si="5"/>
        <v>742</v>
      </c>
      <c r="H20" s="157">
        <f t="shared" si="5"/>
        <v>312</v>
      </c>
      <c r="I20" s="157">
        <f t="shared" si="5"/>
        <v>612</v>
      </c>
      <c r="J20" s="157">
        <f t="shared" si="5"/>
        <v>612</v>
      </c>
      <c r="K20" s="157">
        <f t="shared" si="5"/>
        <v>612</v>
      </c>
      <c r="L20" s="157">
        <f t="shared" si="5"/>
        <v>612</v>
      </c>
      <c r="M20" s="157">
        <f t="shared" si="5"/>
        <v>27</v>
      </c>
      <c r="N20" s="157">
        <f t="shared" si="4"/>
        <v>6479</v>
      </c>
    </row>
    <row r="21" spans="1:14" x14ac:dyDescent="0.25">
      <c r="A21" s="149" t="s">
        <v>198</v>
      </c>
      <c r="B21" s="150">
        <f t="shared" ref="B21:N21" si="6">B8-B20</f>
        <v>-207</v>
      </c>
      <c r="C21" s="150">
        <f t="shared" si="6"/>
        <v>-1207</v>
      </c>
      <c r="D21" s="150">
        <f t="shared" si="6"/>
        <v>-312</v>
      </c>
      <c r="E21" s="150">
        <f t="shared" si="6"/>
        <v>-612</v>
      </c>
      <c r="F21" s="150">
        <f t="shared" si="6"/>
        <v>-612</v>
      </c>
      <c r="G21" s="150">
        <f t="shared" si="6"/>
        <v>-742</v>
      </c>
      <c r="H21" s="150">
        <f t="shared" si="6"/>
        <v>-312</v>
      </c>
      <c r="I21" s="150">
        <f t="shared" si="6"/>
        <v>-612</v>
      </c>
      <c r="J21" s="150">
        <f t="shared" si="6"/>
        <v>-612</v>
      </c>
      <c r="K21" s="150">
        <f t="shared" si="6"/>
        <v>-612</v>
      </c>
      <c r="L21" s="150">
        <f t="shared" si="6"/>
        <v>-612</v>
      </c>
      <c r="M21" s="150">
        <f t="shared" si="6"/>
        <v>-27</v>
      </c>
      <c r="N21" s="150">
        <f t="shared" si="6"/>
        <v>-6479</v>
      </c>
    </row>
    <row r="22" spans="1:14" x14ac:dyDescent="0.25">
      <c r="A22" s="151" t="s">
        <v>199</v>
      </c>
      <c r="B22" s="152"/>
      <c r="C22" s="152"/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N22" s="152"/>
    </row>
    <row r="23" spans="1:14" x14ac:dyDescent="0.25">
      <c r="A23" s="153" t="s">
        <v>202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</row>
    <row r="24" spans="1:14" x14ac:dyDescent="0.25">
      <c r="A24" s="154" t="s">
        <v>230</v>
      </c>
      <c r="B24" s="155">
        <v>0</v>
      </c>
      <c r="C24" s="155">
        <v>0</v>
      </c>
      <c r="D24" s="155">
        <v>0</v>
      </c>
      <c r="E24" s="155">
        <v>0</v>
      </c>
      <c r="F24" s="155">
        <v>0</v>
      </c>
      <c r="G24" s="155">
        <v>880</v>
      </c>
      <c r="H24" s="155">
        <v>0</v>
      </c>
      <c r="I24" s="155">
        <v>860</v>
      </c>
      <c r="J24" s="155">
        <v>120</v>
      </c>
      <c r="K24" s="155">
        <v>0</v>
      </c>
      <c r="L24" s="155">
        <v>0</v>
      </c>
      <c r="M24" s="155">
        <v>0</v>
      </c>
      <c r="N24" s="155">
        <f>SUM(B24:M24)</f>
        <v>1860</v>
      </c>
    </row>
    <row r="25" spans="1:14" x14ac:dyDescent="0.25">
      <c r="A25" s="156" t="s">
        <v>203</v>
      </c>
      <c r="B25" s="157">
        <f t="shared" ref="B25:N26" si="7">SUM(B24)</f>
        <v>0</v>
      </c>
      <c r="C25" s="157">
        <f t="shared" ref="C25:M26" si="8">SUM(C24)</f>
        <v>0</v>
      </c>
      <c r="D25" s="157">
        <f t="shared" si="8"/>
        <v>0</v>
      </c>
      <c r="E25" s="157">
        <f t="shared" si="8"/>
        <v>0</v>
      </c>
      <c r="F25" s="157">
        <f t="shared" si="8"/>
        <v>0</v>
      </c>
      <c r="G25" s="157">
        <f t="shared" si="8"/>
        <v>880</v>
      </c>
      <c r="H25" s="157">
        <f t="shared" si="8"/>
        <v>0</v>
      </c>
      <c r="I25" s="157">
        <f t="shared" si="8"/>
        <v>860</v>
      </c>
      <c r="J25" s="157">
        <f t="shared" si="8"/>
        <v>120</v>
      </c>
      <c r="K25" s="157">
        <f t="shared" si="8"/>
        <v>0</v>
      </c>
      <c r="L25" s="157">
        <f t="shared" si="8"/>
        <v>0</v>
      </c>
      <c r="M25" s="157">
        <f t="shared" si="8"/>
        <v>0</v>
      </c>
      <c r="N25" s="157">
        <f t="shared" si="7"/>
        <v>1860</v>
      </c>
    </row>
    <row r="26" spans="1:14" x14ac:dyDescent="0.25">
      <c r="A26" s="158" t="s">
        <v>206</v>
      </c>
      <c r="B26" s="157">
        <f t="shared" si="7"/>
        <v>0</v>
      </c>
      <c r="C26" s="157">
        <f t="shared" si="8"/>
        <v>0</v>
      </c>
      <c r="D26" s="157">
        <f t="shared" si="8"/>
        <v>0</v>
      </c>
      <c r="E26" s="157">
        <f t="shared" si="8"/>
        <v>0</v>
      </c>
      <c r="F26" s="157">
        <f t="shared" si="8"/>
        <v>0</v>
      </c>
      <c r="G26" s="157">
        <f t="shared" si="8"/>
        <v>880</v>
      </c>
      <c r="H26" s="157">
        <f t="shared" si="8"/>
        <v>0</v>
      </c>
      <c r="I26" s="157">
        <f t="shared" si="8"/>
        <v>860</v>
      </c>
      <c r="J26" s="157">
        <f t="shared" si="8"/>
        <v>120</v>
      </c>
      <c r="K26" s="157">
        <f t="shared" si="8"/>
        <v>0</v>
      </c>
      <c r="L26" s="157">
        <f t="shared" si="8"/>
        <v>0</v>
      </c>
      <c r="M26" s="157">
        <f t="shared" si="8"/>
        <v>0</v>
      </c>
      <c r="N26" s="157">
        <f t="shared" si="7"/>
        <v>1860</v>
      </c>
    </row>
    <row r="27" spans="1:14" x14ac:dyDescent="0.25">
      <c r="A27" s="149" t="s">
        <v>31</v>
      </c>
      <c r="B27" s="150">
        <f t="shared" ref="B27:N27" si="9">B21+B26+0</f>
        <v>-207</v>
      </c>
      <c r="C27" s="150">
        <f t="shared" si="9"/>
        <v>-1207</v>
      </c>
      <c r="D27" s="150">
        <f t="shared" si="9"/>
        <v>-312</v>
      </c>
      <c r="E27" s="150">
        <f t="shared" si="9"/>
        <v>-612</v>
      </c>
      <c r="F27" s="150">
        <f t="shared" si="9"/>
        <v>-612</v>
      </c>
      <c r="G27" s="150">
        <f t="shared" si="9"/>
        <v>138</v>
      </c>
      <c r="H27" s="150">
        <f t="shared" si="9"/>
        <v>-312</v>
      </c>
      <c r="I27" s="150">
        <f t="shared" si="9"/>
        <v>248</v>
      </c>
      <c r="J27" s="150">
        <f t="shared" si="9"/>
        <v>-492</v>
      </c>
      <c r="K27" s="150">
        <f t="shared" si="9"/>
        <v>-612</v>
      </c>
      <c r="L27" s="150">
        <f t="shared" si="9"/>
        <v>-612</v>
      </c>
      <c r="M27" s="150">
        <f t="shared" si="9"/>
        <v>-27</v>
      </c>
      <c r="N27" s="150">
        <f t="shared" si="9"/>
        <v>-4619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607EE-29B2-1C47-90A8-544E08E01201}">
  <sheetPr codeName="Sheet16">
    <tabColor rgb="FFFFFF00"/>
  </sheetPr>
  <dimension ref="A1:N27"/>
  <sheetViews>
    <sheetView zoomScale="106" zoomScaleNormal="106" workbookViewId="0">
      <selection activeCell="H19" sqref="H19"/>
    </sheetView>
  </sheetViews>
  <sheetFormatPr defaultColWidth="6.5" defaultRowHeight="15.75" x14ac:dyDescent="0.25"/>
  <cols>
    <col min="1" max="1" width="46.125" bestFit="1" customWidth="1"/>
    <col min="2" max="2" width="8.625" customWidth="1"/>
    <col min="3" max="3" width="7.25" customWidth="1"/>
    <col min="4" max="5" width="7.25" bestFit="1" customWidth="1"/>
    <col min="6" max="6" width="6.875" bestFit="1" customWidth="1"/>
    <col min="7" max="9" width="7.25" bestFit="1" customWidth="1"/>
    <col min="10" max="10" width="6.5" bestFit="1" customWidth="1"/>
    <col min="11" max="11" width="7.25" bestFit="1" customWidth="1"/>
    <col min="12" max="12" width="7.25" customWidth="1"/>
    <col min="13" max="13" width="6.875" bestFit="1" customWidth="1"/>
    <col min="14" max="14" width="8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356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357</v>
      </c>
      <c r="B11" s="155">
        <v>500</v>
      </c>
      <c r="C11" s="155">
        <v>0</v>
      </c>
      <c r="D11" s="155">
        <v>48</v>
      </c>
      <c r="E11" s="155">
        <v>0</v>
      </c>
      <c r="F11" s="155">
        <v>0</v>
      </c>
      <c r="G11" s="155">
        <v>0</v>
      </c>
      <c r="H11" s="155">
        <v>48</v>
      </c>
      <c r="I11" s="155">
        <v>48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6" si="1">SUM(B11:M11)</f>
        <v>644</v>
      </c>
    </row>
    <row r="12" spans="1:14" x14ac:dyDescent="0.25">
      <c r="A12" s="154" t="s">
        <v>344</v>
      </c>
      <c r="B12" s="155">
        <v>335</v>
      </c>
      <c r="C12" s="155">
        <v>300</v>
      </c>
      <c r="D12" s="155">
        <v>0</v>
      </c>
      <c r="E12" s="155">
        <v>0</v>
      </c>
      <c r="F12" s="155">
        <v>0</v>
      </c>
      <c r="G12" s="155">
        <v>235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870</v>
      </c>
    </row>
    <row r="13" spans="1:14" x14ac:dyDescent="0.25">
      <c r="A13" s="154" t="s">
        <v>353</v>
      </c>
      <c r="B13" s="155">
        <v>0</v>
      </c>
      <c r="C13" s="155">
        <v>30</v>
      </c>
      <c r="D13" s="155">
        <v>30</v>
      </c>
      <c r="E13" s="155">
        <v>30</v>
      </c>
      <c r="F13" s="155">
        <v>30</v>
      </c>
      <c r="G13" s="155">
        <v>30</v>
      </c>
      <c r="H13" s="155">
        <v>30</v>
      </c>
      <c r="I13" s="155">
        <v>30</v>
      </c>
      <c r="J13" s="155">
        <v>30</v>
      </c>
      <c r="K13" s="155">
        <v>30</v>
      </c>
      <c r="L13" s="155">
        <v>30</v>
      </c>
      <c r="M13" s="155">
        <v>0</v>
      </c>
      <c r="N13" s="155">
        <f t="shared" si="1"/>
        <v>300</v>
      </c>
    </row>
    <row r="14" spans="1:14" x14ac:dyDescent="0.25">
      <c r="A14" s="154" t="s">
        <v>345</v>
      </c>
      <c r="B14" s="155">
        <v>0</v>
      </c>
      <c r="C14" s="155">
        <v>0</v>
      </c>
      <c r="D14" s="155">
        <v>250</v>
      </c>
      <c r="E14" s="155">
        <v>500</v>
      </c>
      <c r="F14" s="155">
        <v>250</v>
      </c>
      <c r="G14" s="155">
        <v>0</v>
      </c>
      <c r="H14" s="155">
        <v>250</v>
      </c>
      <c r="I14" s="155">
        <v>500</v>
      </c>
      <c r="J14" s="155">
        <v>250</v>
      </c>
      <c r="K14" s="155">
        <v>0</v>
      </c>
      <c r="L14" s="155">
        <v>0</v>
      </c>
      <c r="M14" s="155">
        <v>0</v>
      </c>
      <c r="N14" s="155">
        <f t="shared" si="1"/>
        <v>2000</v>
      </c>
    </row>
    <row r="15" spans="1:14" x14ac:dyDescent="0.25">
      <c r="A15" s="154" t="s">
        <v>336</v>
      </c>
      <c r="B15" s="155">
        <v>500</v>
      </c>
      <c r="C15" s="155">
        <v>395</v>
      </c>
      <c r="D15" s="155">
        <v>395</v>
      </c>
      <c r="E15" s="155">
        <v>395</v>
      </c>
      <c r="F15" s="155">
        <v>395</v>
      </c>
      <c r="G15" s="155">
        <v>295</v>
      </c>
      <c r="H15" s="155">
        <v>295</v>
      </c>
      <c r="I15" s="155">
        <v>295</v>
      </c>
      <c r="J15" s="155">
        <v>295</v>
      </c>
      <c r="K15" s="155">
        <v>295</v>
      </c>
      <c r="L15" s="155">
        <v>295</v>
      </c>
      <c r="M15" s="155">
        <v>0</v>
      </c>
      <c r="N15" s="155">
        <f t="shared" si="1"/>
        <v>3850</v>
      </c>
    </row>
    <row r="16" spans="1:14" x14ac:dyDescent="0.25">
      <c r="A16" s="154" t="s">
        <v>235</v>
      </c>
      <c r="B16" s="155">
        <v>0</v>
      </c>
      <c r="C16" s="155">
        <v>14</v>
      </c>
      <c r="D16" s="155">
        <v>14</v>
      </c>
      <c r="E16" s="155">
        <v>14</v>
      </c>
      <c r="F16" s="155">
        <v>14</v>
      </c>
      <c r="G16" s="155">
        <v>14</v>
      </c>
      <c r="H16" s="155">
        <v>14</v>
      </c>
      <c r="I16" s="155">
        <v>14</v>
      </c>
      <c r="J16" s="155">
        <v>14</v>
      </c>
      <c r="K16" s="155">
        <v>14</v>
      </c>
      <c r="L16" s="155">
        <v>14</v>
      </c>
      <c r="M16" s="155">
        <v>0</v>
      </c>
      <c r="N16" s="155">
        <f t="shared" si="1"/>
        <v>140</v>
      </c>
    </row>
    <row r="17" spans="1:14" x14ac:dyDescent="0.25">
      <c r="A17" s="154" t="s">
        <v>329</v>
      </c>
      <c r="B17" s="155">
        <v>0</v>
      </c>
      <c r="C17" s="155">
        <v>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ref="N17:N23" si="2">SUM(B17:M17)</f>
        <v>0</v>
      </c>
    </row>
    <row r="18" spans="1:14" x14ac:dyDescent="0.25">
      <c r="A18" s="154" t="s">
        <v>214</v>
      </c>
      <c r="B18" s="155">
        <v>5</v>
      </c>
      <c r="C18" s="155">
        <v>5</v>
      </c>
      <c r="D18" s="155">
        <v>5</v>
      </c>
      <c r="E18" s="155">
        <v>5</v>
      </c>
      <c r="F18" s="155">
        <v>5</v>
      </c>
      <c r="G18" s="155">
        <v>5</v>
      </c>
      <c r="H18" s="155">
        <v>5</v>
      </c>
      <c r="I18" s="155">
        <v>5</v>
      </c>
      <c r="J18" s="155">
        <v>5</v>
      </c>
      <c r="K18" s="155">
        <v>5</v>
      </c>
      <c r="L18" s="155">
        <v>5</v>
      </c>
      <c r="M18" s="155">
        <v>5</v>
      </c>
      <c r="N18" s="155">
        <f t="shared" si="2"/>
        <v>60</v>
      </c>
    </row>
    <row r="19" spans="1:14" x14ac:dyDescent="0.25">
      <c r="A19" s="154" t="s">
        <v>264</v>
      </c>
      <c r="B19" s="155">
        <v>0</v>
      </c>
      <c r="C19" s="155">
        <v>23</v>
      </c>
      <c r="D19" s="155">
        <v>23</v>
      </c>
      <c r="E19" s="155">
        <v>23</v>
      </c>
      <c r="F19" s="155">
        <v>23</v>
      </c>
      <c r="G19" s="155">
        <v>23</v>
      </c>
      <c r="H19" s="155">
        <v>23</v>
      </c>
      <c r="I19" s="155">
        <v>23</v>
      </c>
      <c r="J19" s="155">
        <v>23</v>
      </c>
      <c r="K19" s="155">
        <v>23</v>
      </c>
      <c r="L19" s="155">
        <v>23</v>
      </c>
      <c r="M19" s="155">
        <v>0</v>
      </c>
      <c r="N19" s="155">
        <f t="shared" si="2"/>
        <v>230</v>
      </c>
    </row>
    <row r="20" spans="1:14" x14ac:dyDescent="0.25">
      <c r="A20" s="154" t="s">
        <v>347</v>
      </c>
      <c r="B20" s="155">
        <v>0</v>
      </c>
      <c r="C20" s="155">
        <v>5</v>
      </c>
      <c r="D20" s="155">
        <v>5</v>
      </c>
      <c r="E20" s="155">
        <v>5</v>
      </c>
      <c r="F20" s="155">
        <v>5</v>
      </c>
      <c r="G20" s="155">
        <v>5</v>
      </c>
      <c r="H20" s="155">
        <v>5</v>
      </c>
      <c r="I20" s="155">
        <v>5</v>
      </c>
      <c r="J20" s="155">
        <v>5</v>
      </c>
      <c r="K20" s="155">
        <v>5</v>
      </c>
      <c r="L20" s="155">
        <v>5</v>
      </c>
      <c r="M20" s="155">
        <v>0</v>
      </c>
      <c r="N20" s="155">
        <f t="shared" si="2"/>
        <v>50</v>
      </c>
    </row>
    <row r="21" spans="1:14" x14ac:dyDescent="0.25">
      <c r="A21" s="154" t="s">
        <v>270</v>
      </c>
      <c r="B21" s="155">
        <v>18</v>
      </c>
      <c r="C21" s="155">
        <v>18</v>
      </c>
      <c r="D21" s="155">
        <v>18</v>
      </c>
      <c r="E21" s="155">
        <v>18</v>
      </c>
      <c r="F21" s="155">
        <v>18</v>
      </c>
      <c r="G21" s="155">
        <v>18</v>
      </c>
      <c r="H21" s="155">
        <v>18</v>
      </c>
      <c r="I21" s="155">
        <v>18</v>
      </c>
      <c r="J21" s="155">
        <v>18</v>
      </c>
      <c r="K21" s="155">
        <v>18</v>
      </c>
      <c r="L21" s="155">
        <v>18</v>
      </c>
      <c r="M21" s="155">
        <v>18</v>
      </c>
      <c r="N21" s="155">
        <f t="shared" si="2"/>
        <v>216</v>
      </c>
    </row>
    <row r="22" spans="1:14" x14ac:dyDescent="0.25">
      <c r="A22" s="154" t="s">
        <v>355</v>
      </c>
      <c r="B22" s="155">
        <v>20</v>
      </c>
      <c r="C22" s="155">
        <v>0</v>
      </c>
      <c r="D22" s="155">
        <v>0</v>
      </c>
      <c r="E22" s="155">
        <v>0</v>
      </c>
      <c r="F22" s="155">
        <v>0</v>
      </c>
      <c r="G22" s="155">
        <v>0</v>
      </c>
      <c r="H22" s="155">
        <v>0</v>
      </c>
      <c r="I22" s="155">
        <v>0</v>
      </c>
      <c r="J22" s="155">
        <v>0</v>
      </c>
      <c r="K22" s="155">
        <v>0</v>
      </c>
      <c r="L22" s="155">
        <v>0</v>
      </c>
      <c r="M22" s="155">
        <v>0</v>
      </c>
      <c r="N22" s="155">
        <f t="shared" si="2"/>
        <v>20</v>
      </c>
    </row>
    <row r="23" spans="1:14" x14ac:dyDescent="0.25">
      <c r="A23" s="154" t="s">
        <v>358</v>
      </c>
      <c r="B23" s="155">
        <v>0</v>
      </c>
      <c r="C23" s="155">
        <v>100</v>
      </c>
      <c r="D23" s="155">
        <v>0</v>
      </c>
      <c r="E23" s="155">
        <v>0</v>
      </c>
      <c r="F23" s="155">
        <v>0</v>
      </c>
      <c r="G23" s="155">
        <v>0</v>
      </c>
      <c r="H23" s="155">
        <v>100</v>
      </c>
      <c r="I23" s="155">
        <v>0</v>
      </c>
      <c r="J23" s="155">
        <v>0</v>
      </c>
      <c r="K23" s="155">
        <v>0</v>
      </c>
      <c r="L23" s="155">
        <v>0</v>
      </c>
      <c r="M23" s="155">
        <v>0</v>
      </c>
      <c r="N23" s="155">
        <f t="shared" si="2"/>
        <v>200</v>
      </c>
    </row>
    <row r="24" spans="1:14" x14ac:dyDescent="0.25">
      <c r="A24" s="156" t="s">
        <v>196</v>
      </c>
      <c r="B24" s="157">
        <f t="shared" ref="B24:N24" si="3">SUM(B11:B23)</f>
        <v>1378</v>
      </c>
      <c r="C24" s="157">
        <f t="shared" si="3"/>
        <v>890</v>
      </c>
      <c r="D24" s="157">
        <f t="shared" si="3"/>
        <v>788</v>
      </c>
      <c r="E24" s="157">
        <f t="shared" si="3"/>
        <v>990</v>
      </c>
      <c r="F24" s="157">
        <f t="shared" si="3"/>
        <v>740</v>
      </c>
      <c r="G24" s="157">
        <f t="shared" si="3"/>
        <v>625</v>
      </c>
      <c r="H24" s="157">
        <f t="shared" si="3"/>
        <v>788</v>
      </c>
      <c r="I24" s="157">
        <f t="shared" si="3"/>
        <v>938</v>
      </c>
      <c r="J24" s="157">
        <f t="shared" si="3"/>
        <v>640</v>
      </c>
      <c r="K24" s="157">
        <f t="shared" si="3"/>
        <v>390</v>
      </c>
      <c r="L24" s="157">
        <f t="shared" si="3"/>
        <v>390</v>
      </c>
      <c r="M24" s="157">
        <f t="shared" si="3"/>
        <v>23</v>
      </c>
      <c r="N24" s="157">
        <f t="shared" si="3"/>
        <v>8580</v>
      </c>
    </row>
    <row r="25" spans="1:14" x14ac:dyDescent="0.25">
      <c r="A25" s="158" t="s">
        <v>197</v>
      </c>
      <c r="B25" s="157">
        <f t="shared" ref="B25:N25" si="4">SUM(B24)</f>
        <v>1378</v>
      </c>
      <c r="C25" s="157">
        <f t="shared" ref="C25:M25" si="5">SUM(C24)</f>
        <v>890</v>
      </c>
      <c r="D25" s="157">
        <f t="shared" si="5"/>
        <v>788</v>
      </c>
      <c r="E25" s="157">
        <f t="shared" si="5"/>
        <v>990</v>
      </c>
      <c r="F25" s="157">
        <f t="shared" si="5"/>
        <v>740</v>
      </c>
      <c r="G25" s="157">
        <f t="shared" si="5"/>
        <v>625</v>
      </c>
      <c r="H25" s="157">
        <f t="shared" si="5"/>
        <v>788</v>
      </c>
      <c r="I25" s="157">
        <f t="shared" si="5"/>
        <v>938</v>
      </c>
      <c r="J25" s="157">
        <f t="shared" si="5"/>
        <v>640</v>
      </c>
      <c r="K25" s="157">
        <f t="shared" si="5"/>
        <v>390</v>
      </c>
      <c r="L25" s="157">
        <f t="shared" si="5"/>
        <v>390</v>
      </c>
      <c r="M25" s="157">
        <f t="shared" si="5"/>
        <v>23</v>
      </c>
      <c r="N25" s="157">
        <f t="shared" si="4"/>
        <v>8580</v>
      </c>
    </row>
    <row r="26" spans="1:14" x14ac:dyDescent="0.25">
      <c r="A26" s="149" t="s">
        <v>198</v>
      </c>
      <c r="B26" s="150">
        <f t="shared" ref="B26:N26" si="6">B8-B25</f>
        <v>-1378</v>
      </c>
      <c r="C26" s="150">
        <f t="shared" si="6"/>
        <v>-890</v>
      </c>
      <c r="D26" s="150">
        <f t="shared" si="6"/>
        <v>-788</v>
      </c>
      <c r="E26" s="150">
        <f t="shared" si="6"/>
        <v>-990</v>
      </c>
      <c r="F26" s="150">
        <f t="shared" si="6"/>
        <v>-740</v>
      </c>
      <c r="G26" s="150">
        <f t="shared" si="6"/>
        <v>-625</v>
      </c>
      <c r="H26" s="150">
        <f t="shared" si="6"/>
        <v>-788</v>
      </c>
      <c r="I26" s="150">
        <f t="shared" si="6"/>
        <v>-938</v>
      </c>
      <c r="J26" s="150">
        <f t="shared" si="6"/>
        <v>-640</v>
      </c>
      <c r="K26" s="150">
        <f t="shared" si="6"/>
        <v>-390</v>
      </c>
      <c r="L26" s="150">
        <f t="shared" si="6"/>
        <v>-390</v>
      </c>
      <c r="M26" s="150">
        <f t="shared" si="6"/>
        <v>-23</v>
      </c>
      <c r="N26" s="150">
        <f t="shared" si="6"/>
        <v>-8580</v>
      </c>
    </row>
    <row r="27" spans="1:14" x14ac:dyDescent="0.25">
      <c r="A27" s="149" t="s">
        <v>31</v>
      </c>
      <c r="B27" s="150">
        <f t="shared" ref="B27:N27" si="7">B26+0+0</f>
        <v>-1378</v>
      </c>
      <c r="C27" s="150">
        <f t="shared" si="7"/>
        <v>-890</v>
      </c>
      <c r="D27" s="150">
        <f t="shared" si="7"/>
        <v>-788</v>
      </c>
      <c r="E27" s="150">
        <f t="shared" si="7"/>
        <v>-990</v>
      </c>
      <c r="F27" s="150">
        <f t="shared" si="7"/>
        <v>-740</v>
      </c>
      <c r="G27" s="150">
        <f t="shared" si="7"/>
        <v>-625</v>
      </c>
      <c r="H27" s="150">
        <f t="shared" si="7"/>
        <v>-788</v>
      </c>
      <c r="I27" s="150">
        <f t="shared" si="7"/>
        <v>-938</v>
      </c>
      <c r="J27" s="150">
        <f t="shared" si="7"/>
        <v>-640</v>
      </c>
      <c r="K27" s="150">
        <f t="shared" si="7"/>
        <v>-390</v>
      </c>
      <c r="L27" s="150">
        <f t="shared" si="7"/>
        <v>-390</v>
      </c>
      <c r="M27" s="150">
        <f t="shared" si="7"/>
        <v>-23</v>
      </c>
      <c r="N27" s="150">
        <f t="shared" si="7"/>
        <v>-8580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0F029-63F3-AA49-8F13-E09D174636BE}">
  <sheetPr codeName="Sheet17">
    <tabColor rgb="FFFFFF00"/>
  </sheetPr>
  <dimension ref="A1:N20"/>
  <sheetViews>
    <sheetView zoomScale="101" workbookViewId="0">
      <selection activeCell="H25" sqref="H25"/>
    </sheetView>
  </sheetViews>
  <sheetFormatPr defaultColWidth="6.5" defaultRowHeight="15.75" x14ac:dyDescent="0.25"/>
  <cols>
    <col min="1" max="1" width="46.125" bestFit="1" customWidth="1"/>
    <col min="2" max="2" width="6.5" bestFit="1" customWidth="1"/>
    <col min="3" max="3" width="6.5" customWidth="1"/>
    <col min="4" max="4" width="6.75" bestFit="1" customWidth="1"/>
    <col min="5" max="5" width="6.5" bestFit="1" customWidth="1"/>
    <col min="6" max="6" width="6.875" bestFit="1" customWidth="1"/>
    <col min="7" max="7" width="6.5" bestFit="1" customWidth="1"/>
    <col min="8" max="8" width="6.125" bestFit="1" customWidth="1"/>
    <col min="9" max="9" width="6.75" bestFit="1" customWidth="1"/>
    <col min="10" max="11" width="6.5" bestFit="1" customWidth="1"/>
    <col min="12" max="12" width="6.875" bestFit="1" customWidth="1"/>
    <col min="13" max="13" width="6.875" customWidth="1"/>
    <col min="14" max="14" width="7.2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94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344</v>
      </c>
      <c r="B11" s="155">
        <v>62</v>
      </c>
      <c r="C11" s="155">
        <v>62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>SUM(B11:M11)</f>
        <v>124</v>
      </c>
    </row>
    <row r="12" spans="1:14" x14ac:dyDescent="0.25">
      <c r="A12" s="154" t="s">
        <v>353</v>
      </c>
      <c r="B12" s="155">
        <v>0</v>
      </c>
      <c r="C12" s="155">
        <v>0</v>
      </c>
      <c r="D12" s="155">
        <v>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ref="N12:N16" si="1">SUM(B12:M12)</f>
        <v>0</v>
      </c>
    </row>
    <row r="13" spans="1:14" x14ac:dyDescent="0.25">
      <c r="A13" s="154" t="s">
        <v>336</v>
      </c>
      <c r="B13" s="155">
        <v>0</v>
      </c>
      <c r="C13" s="155">
        <v>30</v>
      </c>
      <c r="D13" s="155">
        <v>30</v>
      </c>
      <c r="E13" s="155">
        <v>30</v>
      </c>
      <c r="F13" s="155">
        <v>30</v>
      </c>
      <c r="G13" s="155">
        <v>30</v>
      </c>
      <c r="H13" s="155">
        <v>30</v>
      </c>
      <c r="I13" s="155">
        <v>30</v>
      </c>
      <c r="J13" s="155">
        <v>30</v>
      </c>
      <c r="K13" s="155">
        <v>30</v>
      </c>
      <c r="L13" s="155">
        <v>30</v>
      </c>
      <c r="M13" s="155">
        <v>0</v>
      </c>
      <c r="N13" s="155">
        <f t="shared" si="1"/>
        <v>300</v>
      </c>
    </row>
    <row r="14" spans="1:14" x14ac:dyDescent="0.25">
      <c r="A14" s="154" t="s">
        <v>264</v>
      </c>
      <c r="B14" s="155">
        <v>0</v>
      </c>
      <c r="C14" s="155">
        <v>4</v>
      </c>
      <c r="D14" s="155">
        <v>4</v>
      </c>
      <c r="E14" s="155">
        <v>4</v>
      </c>
      <c r="F14" s="155">
        <v>4</v>
      </c>
      <c r="G14" s="155">
        <v>4</v>
      </c>
      <c r="H14" s="155">
        <v>4</v>
      </c>
      <c r="I14" s="155">
        <v>4</v>
      </c>
      <c r="J14" s="155">
        <v>4</v>
      </c>
      <c r="K14" s="155">
        <v>4</v>
      </c>
      <c r="L14" s="155">
        <v>4</v>
      </c>
      <c r="M14" s="155">
        <v>0</v>
      </c>
      <c r="N14" s="155">
        <f t="shared" si="1"/>
        <v>40</v>
      </c>
    </row>
    <row r="15" spans="1:14" x14ac:dyDescent="0.25">
      <c r="A15" s="154" t="s">
        <v>267</v>
      </c>
      <c r="B15" s="155">
        <v>0</v>
      </c>
      <c r="C15" s="155">
        <v>0</v>
      </c>
      <c r="D15" s="155">
        <v>0</v>
      </c>
      <c r="E15" s="155">
        <v>0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si="1"/>
        <v>0</v>
      </c>
    </row>
    <row r="16" spans="1:14" x14ac:dyDescent="0.25">
      <c r="A16" s="154" t="s">
        <v>270</v>
      </c>
      <c r="B16" s="155">
        <v>12</v>
      </c>
      <c r="C16" s="155">
        <v>12</v>
      </c>
      <c r="D16" s="155">
        <v>12</v>
      </c>
      <c r="E16" s="155">
        <v>12</v>
      </c>
      <c r="F16" s="155">
        <v>12</v>
      </c>
      <c r="G16" s="155">
        <v>12</v>
      </c>
      <c r="H16" s="155">
        <v>12</v>
      </c>
      <c r="I16" s="155">
        <v>12</v>
      </c>
      <c r="J16" s="155">
        <v>12</v>
      </c>
      <c r="K16" s="155">
        <v>12</v>
      </c>
      <c r="L16" s="155">
        <v>12</v>
      </c>
      <c r="M16" s="155">
        <v>12</v>
      </c>
      <c r="N16" s="155">
        <f t="shared" si="1"/>
        <v>144</v>
      </c>
    </row>
    <row r="17" spans="1:14" x14ac:dyDescent="0.25">
      <c r="A17" s="156" t="s">
        <v>196</v>
      </c>
      <c r="B17" s="157">
        <f>SUM(B11:B16)</f>
        <v>74</v>
      </c>
      <c r="C17" s="157">
        <f t="shared" ref="C17:N17" si="2">SUM(C11:C16)</f>
        <v>108</v>
      </c>
      <c r="D17" s="157">
        <f t="shared" si="2"/>
        <v>46</v>
      </c>
      <c r="E17" s="157">
        <f t="shared" si="2"/>
        <v>46</v>
      </c>
      <c r="F17" s="157">
        <f t="shared" si="2"/>
        <v>46</v>
      </c>
      <c r="G17" s="157">
        <f t="shared" si="2"/>
        <v>46</v>
      </c>
      <c r="H17" s="157">
        <f t="shared" si="2"/>
        <v>46</v>
      </c>
      <c r="I17" s="157">
        <f t="shared" si="2"/>
        <v>46</v>
      </c>
      <c r="J17" s="157">
        <f t="shared" si="2"/>
        <v>46</v>
      </c>
      <c r="K17" s="157">
        <f t="shared" si="2"/>
        <v>46</v>
      </c>
      <c r="L17" s="157">
        <f t="shared" si="2"/>
        <v>46</v>
      </c>
      <c r="M17" s="157">
        <f t="shared" si="2"/>
        <v>12</v>
      </c>
      <c r="N17" s="157">
        <f t="shared" si="2"/>
        <v>608</v>
      </c>
    </row>
    <row r="18" spans="1:14" x14ac:dyDescent="0.25">
      <c r="A18" s="158" t="s">
        <v>197</v>
      </c>
      <c r="B18" s="157">
        <f t="shared" ref="B18" si="3">SUM(B17)</f>
        <v>74</v>
      </c>
      <c r="C18" s="157">
        <f t="shared" ref="C18:N18" si="4">SUM(C17)</f>
        <v>108</v>
      </c>
      <c r="D18" s="157">
        <f t="shared" si="4"/>
        <v>46</v>
      </c>
      <c r="E18" s="157">
        <f t="shared" si="4"/>
        <v>46</v>
      </c>
      <c r="F18" s="157">
        <f t="shared" si="4"/>
        <v>46</v>
      </c>
      <c r="G18" s="157">
        <f t="shared" si="4"/>
        <v>46</v>
      </c>
      <c r="H18" s="157">
        <f t="shared" si="4"/>
        <v>46</v>
      </c>
      <c r="I18" s="157">
        <f t="shared" si="4"/>
        <v>46</v>
      </c>
      <c r="J18" s="157">
        <f t="shared" si="4"/>
        <v>46</v>
      </c>
      <c r="K18" s="157">
        <f t="shared" si="4"/>
        <v>46</v>
      </c>
      <c r="L18" s="157">
        <f t="shared" si="4"/>
        <v>46</v>
      </c>
      <c r="M18" s="157">
        <f t="shared" si="4"/>
        <v>12</v>
      </c>
      <c r="N18" s="157">
        <f t="shared" si="4"/>
        <v>608</v>
      </c>
    </row>
    <row r="19" spans="1:14" x14ac:dyDescent="0.25">
      <c r="A19" s="149" t="s">
        <v>198</v>
      </c>
      <c r="B19" s="150">
        <f>B8-B18</f>
        <v>-74</v>
      </c>
      <c r="C19" s="150">
        <f t="shared" ref="C19:N19" si="5">C8-C18</f>
        <v>-108</v>
      </c>
      <c r="D19" s="150">
        <f t="shared" si="5"/>
        <v>-46</v>
      </c>
      <c r="E19" s="150">
        <f t="shared" si="5"/>
        <v>-46</v>
      </c>
      <c r="F19" s="150">
        <f t="shared" si="5"/>
        <v>-46</v>
      </c>
      <c r="G19" s="150">
        <f t="shared" si="5"/>
        <v>-46</v>
      </c>
      <c r="H19" s="150">
        <f t="shared" si="5"/>
        <v>-46</v>
      </c>
      <c r="I19" s="150">
        <f t="shared" si="5"/>
        <v>-46</v>
      </c>
      <c r="J19" s="150">
        <f t="shared" si="5"/>
        <v>-46</v>
      </c>
      <c r="K19" s="150">
        <f t="shared" si="5"/>
        <v>-46</v>
      </c>
      <c r="L19" s="150">
        <f t="shared" si="5"/>
        <v>-46</v>
      </c>
      <c r="M19" s="150">
        <f t="shared" si="5"/>
        <v>-12</v>
      </c>
      <c r="N19" s="150">
        <f t="shared" si="5"/>
        <v>-608</v>
      </c>
    </row>
    <row r="20" spans="1:14" x14ac:dyDescent="0.25">
      <c r="A20" s="149" t="s">
        <v>31</v>
      </c>
      <c r="B20" s="150">
        <f t="shared" ref="B20:N20" si="6">B19+0+0</f>
        <v>-74</v>
      </c>
      <c r="C20" s="150">
        <f t="shared" si="6"/>
        <v>-108</v>
      </c>
      <c r="D20" s="150">
        <f t="shared" si="6"/>
        <v>-46</v>
      </c>
      <c r="E20" s="150">
        <f t="shared" si="6"/>
        <v>-46</v>
      </c>
      <c r="F20" s="150">
        <f t="shared" si="6"/>
        <v>-46</v>
      </c>
      <c r="G20" s="150">
        <f t="shared" si="6"/>
        <v>-46</v>
      </c>
      <c r="H20" s="150">
        <f t="shared" si="6"/>
        <v>-46</v>
      </c>
      <c r="I20" s="150">
        <f t="shared" si="6"/>
        <v>-46</v>
      </c>
      <c r="J20" s="150">
        <f t="shared" si="6"/>
        <v>-46</v>
      </c>
      <c r="K20" s="150">
        <f t="shared" si="6"/>
        <v>-46</v>
      </c>
      <c r="L20" s="150">
        <f t="shared" si="6"/>
        <v>-46</v>
      </c>
      <c r="M20" s="150">
        <f t="shared" si="6"/>
        <v>-12</v>
      </c>
      <c r="N20" s="150">
        <f t="shared" si="6"/>
        <v>-608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A61CF-9CE6-1944-B03D-1F2F1970BB83}">
  <sheetPr codeName="Sheet18">
    <tabColor rgb="FFFFFF00"/>
  </sheetPr>
  <dimension ref="A1:P25"/>
  <sheetViews>
    <sheetView zoomScale="120" zoomScaleNormal="120" workbookViewId="0">
      <selection activeCell="B11" sqref="B11:M16"/>
    </sheetView>
  </sheetViews>
  <sheetFormatPr defaultColWidth="6.5" defaultRowHeight="15.75" x14ac:dyDescent="0.25"/>
  <cols>
    <col min="1" max="1" width="46.125" bestFit="1" customWidth="1"/>
    <col min="2" max="2" width="7.125" bestFit="1" customWidth="1"/>
    <col min="3" max="3" width="6.125" customWidth="1"/>
    <col min="4" max="5" width="7.125" bestFit="1" customWidth="1"/>
    <col min="6" max="6" width="8.25" bestFit="1" customWidth="1"/>
    <col min="7" max="7" width="7.5" bestFit="1" customWidth="1"/>
    <col min="8" max="10" width="7.125" bestFit="1" customWidth="1"/>
    <col min="11" max="11" width="7.5" bestFit="1" customWidth="1"/>
    <col min="12" max="12" width="7.125" bestFit="1" customWidth="1"/>
    <col min="13" max="13" width="6.125" customWidth="1"/>
    <col min="14" max="14" width="8.25" bestFit="1" customWidth="1"/>
  </cols>
  <sheetData>
    <row r="1" spans="1:16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6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6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6" ht="18" x14ac:dyDescent="0.25">
      <c r="A4" s="365" t="s">
        <v>93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6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6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6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6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6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</row>
    <row r="10" spans="1:16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</row>
    <row r="11" spans="1:16" x14ac:dyDescent="0.25">
      <c r="A11" s="154" t="s">
        <v>344</v>
      </c>
      <c r="B11" s="155">
        <v>100</v>
      </c>
      <c r="C11" s="155">
        <v>50</v>
      </c>
      <c r="D11" s="155">
        <v>0</v>
      </c>
      <c r="E11" s="155">
        <v>0</v>
      </c>
      <c r="F11" s="155">
        <v>0</v>
      </c>
      <c r="G11" s="155">
        <v>50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5" si="1">SUM(B11:M11)</f>
        <v>200</v>
      </c>
    </row>
    <row r="12" spans="1:16" x14ac:dyDescent="0.25">
      <c r="A12" s="154" t="s">
        <v>345</v>
      </c>
      <c r="B12" s="155">
        <v>0</v>
      </c>
      <c r="C12" s="155">
        <v>0</v>
      </c>
      <c r="D12" s="155">
        <v>0</v>
      </c>
      <c r="E12" s="155">
        <v>0</v>
      </c>
      <c r="F12" s="155">
        <v>1000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1000</v>
      </c>
    </row>
    <row r="13" spans="1:16" x14ac:dyDescent="0.25">
      <c r="A13" s="154" t="s">
        <v>336</v>
      </c>
      <c r="B13" s="155">
        <v>0</v>
      </c>
      <c r="C13" s="155">
        <v>200</v>
      </c>
      <c r="D13" s="155">
        <v>200</v>
      </c>
      <c r="E13" s="155">
        <v>200</v>
      </c>
      <c r="F13" s="155">
        <v>200</v>
      </c>
      <c r="G13" s="155">
        <v>200</v>
      </c>
      <c r="H13" s="155">
        <v>200</v>
      </c>
      <c r="I13" s="155">
        <v>200</v>
      </c>
      <c r="J13" s="155">
        <v>200</v>
      </c>
      <c r="K13" s="155">
        <v>200</v>
      </c>
      <c r="L13" s="155">
        <v>200</v>
      </c>
      <c r="M13" s="155">
        <v>0</v>
      </c>
      <c r="N13" s="155">
        <f t="shared" si="1"/>
        <v>2000</v>
      </c>
    </row>
    <row r="14" spans="1:16" x14ac:dyDescent="0.25">
      <c r="A14" s="154" t="s">
        <v>264</v>
      </c>
      <c r="B14" s="155">
        <v>0</v>
      </c>
      <c r="C14" s="155">
        <v>20</v>
      </c>
      <c r="D14" s="155">
        <v>20</v>
      </c>
      <c r="E14" s="155">
        <v>20</v>
      </c>
      <c r="F14" s="155">
        <v>20</v>
      </c>
      <c r="G14" s="155">
        <v>20</v>
      </c>
      <c r="H14" s="155">
        <v>20</v>
      </c>
      <c r="I14" s="155">
        <v>20</v>
      </c>
      <c r="J14" s="155">
        <v>20</v>
      </c>
      <c r="K14" s="155">
        <v>20</v>
      </c>
      <c r="L14" s="155">
        <v>20</v>
      </c>
      <c r="M14" s="155">
        <v>0</v>
      </c>
      <c r="N14" s="155">
        <f t="shared" si="1"/>
        <v>200</v>
      </c>
    </row>
    <row r="15" spans="1:16" x14ac:dyDescent="0.25">
      <c r="A15" s="154" t="s">
        <v>359</v>
      </c>
      <c r="B15" s="155">
        <v>10</v>
      </c>
      <c r="C15" s="155">
        <v>10</v>
      </c>
      <c r="D15" s="155">
        <v>10</v>
      </c>
      <c r="E15" s="155">
        <v>10</v>
      </c>
      <c r="F15" s="155">
        <v>10</v>
      </c>
      <c r="G15" s="155">
        <v>10</v>
      </c>
      <c r="H15" s="155">
        <v>10</v>
      </c>
      <c r="I15" s="155">
        <v>10</v>
      </c>
      <c r="J15" s="155">
        <v>10</v>
      </c>
      <c r="K15" s="155">
        <v>10</v>
      </c>
      <c r="L15" s="155">
        <v>10</v>
      </c>
      <c r="M15" s="155">
        <v>10</v>
      </c>
      <c r="N15" s="155">
        <f t="shared" si="1"/>
        <v>120</v>
      </c>
    </row>
    <row r="16" spans="1:16" x14ac:dyDescent="0.25">
      <c r="A16" s="154" t="s">
        <v>270</v>
      </c>
      <c r="B16" s="155">
        <v>12</v>
      </c>
      <c r="C16" s="155">
        <v>12</v>
      </c>
      <c r="D16" s="155">
        <v>12</v>
      </c>
      <c r="E16" s="155">
        <v>12</v>
      </c>
      <c r="F16" s="155">
        <v>12</v>
      </c>
      <c r="G16" s="155">
        <v>12</v>
      </c>
      <c r="H16" s="155">
        <v>12</v>
      </c>
      <c r="I16" s="155">
        <v>12</v>
      </c>
      <c r="J16" s="155">
        <v>12</v>
      </c>
      <c r="K16" s="155">
        <v>12</v>
      </c>
      <c r="L16" s="155">
        <v>12</v>
      </c>
      <c r="M16" s="155">
        <v>12</v>
      </c>
      <c r="N16" s="155">
        <f t="shared" ref="N16" si="2">SUM(B16:M16)</f>
        <v>144</v>
      </c>
    </row>
    <row r="17" spans="1:14" x14ac:dyDescent="0.25">
      <c r="A17" s="156" t="s">
        <v>196</v>
      </c>
      <c r="B17" s="157">
        <f>SUM(B11:B16)</f>
        <v>122</v>
      </c>
      <c r="C17" s="157">
        <f t="shared" ref="C17:N17" si="3">SUM(C11:C16)</f>
        <v>292</v>
      </c>
      <c r="D17" s="157">
        <f t="shared" si="3"/>
        <v>242</v>
      </c>
      <c r="E17" s="157">
        <f t="shared" si="3"/>
        <v>242</v>
      </c>
      <c r="F17" s="157">
        <f t="shared" si="3"/>
        <v>1242</v>
      </c>
      <c r="G17" s="157">
        <f t="shared" si="3"/>
        <v>292</v>
      </c>
      <c r="H17" s="157">
        <f t="shared" si="3"/>
        <v>242</v>
      </c>
      <c r="I17" s="157">
        <f t="shared" si="3"/>
        <v>242</v>
      </c>
      <c r="J17" s="157">
        <f t="shared" si="3"/>
        <v>242</v>
      </c>
      <c r="K17" s="157">
        <f t="shared" si="3"/>
        <v>242</v>
      </c>
      <c r="L17" s="157">
        <f t="shared" si="3"/>
        <v>242</v>
      </c>
      <c r="M17" s="157">
        <f t="shared" si="3"/>
        <v>22</v>
      </c>
      <c r="N17" s="157">
        <f t="shared" si="3"/>
        <v>3664</v>
      </c>
    </row>
    <row r="18" spans="1:14" x14ac:dyDescent="0.25">
      <c r="A18" s="158" t="s">
        <v>197</v>
      </c>
      <c r="B18" s="157">
        <f>SUM(B17)</f>
        <v>122</v>
      </c>
      <c r="C18" s="157">
        <f t="shared" ref="C18:N18" si="4">SUM(C17)</f>
        <v>292</v>
      </c>
      <c r="D18" s="157">
        <f t="shared" si="4"/>
        <v>242</v>
      </c>
      <c r="E18" s="157">
        <f t="shared" si="4"/>
        <v>242</v>
      </c>
      <c r="F18" s="157">
        <f t="shared" si="4"/>
        <v>1242</v>
      </c>
      <c r="G18" s="157">
        <f t="shared" si="4"/>
        <v>292</v>
      </c>
      <c r="H18" s="157">
        <f t="shared" si="4"/>
        <v>242</v>
      </c>
      <c r="I18" s="157">
        <f t="shared" si="4"/>
        <v>242</v>
      </c>
      <c r="J18" s="157">
        <f t="shared" si="4"/>
        <v>242</v>
      </c>
      <c r="K18" s="157">
        <f t="shared" si="4"/>
        <v>242</v>
      </c>
      <c r="L18" s="157">
        <f t="shared" si="4"/>
        <v>242</v>
      </c>
      <c r="M18" s="157">
        <f t="shared" si="4"/>
        <v>22</v>
      </c>
      <c r="N18" s="157">
        <f t="shared" si="4"/>
        <v>3664</v>
      </c>
    </row>
    <row r="19" spans="1:14" x14ac:dyDescent="0.25">
      <c r="A19" s="149" t="s">
        <v>198</v>
      </c>
      <c r="B19" s="150">
        <f t="shared" ref="B19:N19" si="5">B8-B18</f>
        <v>-122</v>
      </c>
      <c r="C19" s="150">
        <f t="shared" si="5"/>
        <v>-292</v>
      </c>
      <c r="D19" s="150">
        <f t="shared" si="5"/>
        <v>-242</v>
      </c>
      <c r="E19" s="150">
        <f t="shared" si="5"/>
        <v>-242</v>
      </c>
      <c r="F19" s="150">
        <f>F8-F18</f>
        <v>-1242</v>
      </c>
      <c r="G19" s="150">
        <f t="shared" ref="G19:M19" si="6">G8-G18</f>
        <v>-292</v>
      </c>
      <c r="H19" s="150">
        <f t="shared" si="6"/>
        <v>-242</v>
      </c>
      <c r="I19" s="150">
        <f t="shared" si="6"/>
        <v>-242</v>
      </c>
      <c r="J19" s="150">
        <f t="shared" si="6"/>
        <v>-242</v>
      </c>
      <c r="K19" s="150">
        <f t="shared" si="6"/>
        <v>-242</v>
      </c>
      <c r="L19" s="150">
        <f t="shared" si="6"/>
        <v>-242</v>
      </c>
      <c r="M19" s="150">
        <f t="shared" si="6"/>
        <v>-22</v>
      </c>
      <c r="N19" s="150">
        <f t="shared" si="5"/>
        <v>-3664</v>
      </c>
    </row>
    <row r="20" spans="1:14" x14ac:dyDescent="0.25">
      <c r="A20" s="151" t="s">
        <v>199</v>
      </c>
      <c r="B20" s="152"/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</row>
    <row r="21" spans="1:14" x14ac:dyDescent="0.25">
      <c r="A21" s="153" t="s">
        <v>202</v>
      </c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</row>
    <row r="22" spans="1:14" x14ac:dyDescent="0.25">
      <c r="A22" s="154" t="s">
        <v>278</v>
      </c>
      <c r="B22" s="155">
        <v>0</v>
      </c>
      <c r="C22" s="155">
        <v>0</v>
      </c>
      <c r="D22" s="155">
        <v>0</v>
      </c>
      <c r="E22" s="155">
        <v>0</v>
      </c>
      <c r="F22" s="155">
        <v>0</v>
      </c>
      <c r="G22" s="155">
        <v>0</v>
      </c>
      <c r="H22" s="155">
        <v>0</v>
      </c>
      <c r="I22" s="155">
        <v>0</v>
      </c>
      <c r="J22" s="155">
        <v>0</v>
      </c>
      <c r="K22" s="155">
        <v>0</v>
      </c>
      <c r="L22" s="155">
        <v>0</v>
      </c>
      <c r="M22" s="155">
        <v>0</v>
      </c>
      <c r="N22" s="155">
        <f>SUM(B22:M22)</f>
        <v>0</v>
      </c>
    </row>
    <row r="23" spans="1:14" x14ac:dyDescent="0.25">
      <c r="A23" s="156" t="s">
        <v>203</v>
      </c>
      <c r="B23" s="157">
        <f t="shared" ref="B23:N24" si="7">SUM(B22)</f>
        <v>0</v>
      </c>
      <c r="C23" s="157">
        <f t="shared" ref="C23:M24" si="8">SUM(C22)</f>
        <v>0</v>
      </c>
      <c r="D23" s="157">
        <f t="shared" si="8"/>
        <v>0</v>
      </c>
      <c r="E23" s="157">
        <f t="shared" si="8"/>
        <v>0</v>
      </c>
      <c r="F23" s="157">
        <f t="shared" si="8"/>
        <v>0</v>
      </c>
      <c r="G23" s="157">
        <f t="shared" si="8"/>
        <v>0</v>
      </c>
      <c r="H23" s="157">
        <f t="shared" si="8"/>
        <v>0</v>
      </c>
      <c r="I23" s="157">
        <f t="shared" si="8"/>
        <v>0</v>
      </c>
      <c r="J23" s="157">
        <f t="shared" si="8"/>
        <v>0</v>
      </c>
      <c r="K23" s="157">
        <f t="shared" si="8"/>
        <v>0</v>
      </c>
      <c r="L23" s="157">
        <f t="shared" si="8"/>
        <v>0</v>
      </c>
      <c r="M23" s="157">
        <f t="shared" si="8"/>
        <v>0</v>
      </c>
      <c r="N23" s="157">
        <f t="shared" si="7"/>
        <v>0</v>
      </c>
    </row>
    <row r="24" spans="1:14" x14ac:dyDescent="0.25">
      <c r="A24" s="158" t="s">
        <v>206</v>
      </c>
      <c r="B24" s="157">
        <f t="shared" si="7"/>
        <v>0</v>
      </c>
      <c r="C24" s="157">
        <f t="shared" si="8"/>
        <v>0</v>
      </c>
      <c r="D24" s="157">
        <f t="shared" si="8"/>
        <v>0</v>
      </c>
      <c r="E24" s="157">
        <f t="shared" si="8"/>
        <v>0</v>
      </c>
      <c r="F24" s="157">
        <f t="shared" si="8"/>
        <v>0</v>
      </c>
      <c r="G24" s="157">
        <f t="shared" si="8"/>
        <v>0</v>
      </c>
      <c r="H24" s="157">
        <f t="shared" si="8"/>
        <v>0</v>
      </c>
      <c r="I24" s="157">
        <f t="shared" si="8"/>
        <v>0</v>
      </c>
      <c r="J24" s="157">
        <f t="shared" si="8"/>
        <v>0</v>
      </c>
      <c r="K24" s="157">
        <f t="shared" si="8"/>
        <v>0</v>
      </c>
      <c r="L24" s="157">
        <f t="shared" si="8"/>
        <v>0</v>
      </c>
      <c r="M24" s="157">
        <f t="shared" si="8"/>
        <v>0</v>
      </c>
      <c r="N24" s="157">
        <f t="shared" si="7"/>
        <v>0</v>
      </c>
    </row>
    <row r="25" spans="1:14" x14ac:dyDescent="0.25">
      <c r="A25" s="149" t="s">
        <v>31</v>
      </c>
      <c r="B25" s="150">
        <f t="shared" ref="B25:N25" si="9">B19+B24+0</f>
        <v>-122</v>
      </c>
      <c r="C25" s="150">
        <f t="shared" si="9"/>
        <v>-292</v>
      </c>
      <c r="D25" s="150">
        <f t="shared" si="9"/>
        <v>-242</v>
      </c>
      <c r="E25" s="150">
        <f t="shared" si="9"/>
        <v>-242</v>
      </c>
      <c r="F25" s="150">
        <f t="shared" si="9"/>
        <v>-1242</v>
      </c>
      <c r="G25" s="150">
        <f t="shared" si="9"/>
        <v>-292</v>
      </c>
      <c r="H25" s="150">
        <f t="shared" si="9"/>
        <v>-242</v>
      </c>
      <c r="I25" s="150">
        <f t="shared" si="9"/>
        <v>-242</v>
      </c>
      <c r="J25" s="150">
        <f t="shared" si="9"/>
        <v>-242</v>
      </c>
      <c r="K25" s="150">
        <f t="shared" si="9"/>
        <v>-242</v>
      </c>
      <c r="L25" s="150">
        <f t="shared" si="9"/>
        <v>-242</v>
      </c>
      <c r="M25" s="150">
        <f t="shared" si="9"/>
        <v>-22</v>
      </c>
      <c r="N25" s="150">
        <f t="shared" si="9"/>
        <v>-3664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3196A-4712-BF4E-AC7E-B26FDD1E2071}">
  <sheetPr codeName="Sheet19">
    <tabColor rgb="FFFFFF00"/>
  </sheetPr>
  <dimension ref="A1:N28"/>
  <sheetViews>
    <sheetView zoomScale="110" zoomScaleNormal="110" workbookViewId="0">
      <selection activeCell="K23" sqref="K23"/>
    </sheetView>
  </sheetViews>
  <sheetFormatPr defaultColWidth="6.5" defaultRowHeight="15.75" x14ac:dyDescent="0.25"/>
  <cols>
    <col min="1" max="1" width="46.125" bestFit="1" customWidth="1"/>
    <col min="2" max="2" width="6.5" bestFit="1" customWidth="1"/>
    <col min="3" max="3" width="6.5" customWidth="1"/>
    <col min="4" max="4" width="6.75" bestFit="1" customWidth="1"/>
    <col min="5" max="5" width="6.5" bestFit="1" customWidth="1"/>
    <col min="6" max="6" width="7.25" bestFit="1" customWidth="1"/>
    <col min="7" max="8" width="6.125" bestFit="1" customWidth="1"/>
    <col min="9" max="9" width="6.75" bestFit="1" customWidth="1"/>
    <col min="10" max="10" width="6.5" bestFit="1" customWidth="1"/>
    <col min="11" max="12" width="6.125" bestFit="1" customWidth="1"/>
    <col min="13" max="13" width="6.125" customWidth="1"/>
    <col min="14" max="14" width="10.625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360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M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>SUM(B8:M8)</f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344</v>
      </c>
      <c r="B11" s="155">
        <v>70</v>
      </c>
      <c r="C11" s="155">
        <v>70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9" si="1">SUM(B11:M11)</f>
        <v>140</v>
      </c>
    </row>
    <row r="12" spans="1:14" x14ac:dyDescent="0.25">
      <c r="A12" s="154" t="s">
        <v>345</v>
      </c>
      <c r="B12" s="155">
        <v>0</v>
      </c>
      <c r="C12" s="155">
        <v>350</v>
      </c>
      <c r="D12" s="155">
        <v>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350</v>
      </c>
    </row>
    <row r="13" spans="1:14" x14ac:dyDescent="0.25">
      <c r="A13" s="154" t="s">
        <v>336</v>
      </c>
      <c r="B13" s="155">
        <v>0</v>
      </c>
      <c r="C13" s="155">
        <v>66</v>
      </c>
      <c r="D13" s="155">
        <v>66</v>
      </c>
      <c r="E13" s="155">
        <v>66</v>
      </c>
      <c r="F13" s="155">
        <v>66</v>
      </c>
      <c r="G13" s="155">
        <v>66</v>
      </c>
      <c r="H13" s="155">
        <v>66</v>
      </c>
      <c r="I13" s="155">
        <v>66</v>
      </c>
      <c r="J13" s="155">
        <v>66</v>
      </c>
      <c r="K13" s="155">
        <v>66</v>
      </c>
      <c r="L13" s="155">
        <v>66</v>
      </c>
      <c r="M13" s="155">
        <v>0</v>
      </c>
      <c r="N13" s="155">
        <f t="shared" si="1"/>
        <v>660</v>
      </c>
    </row>
    <row r="14" spans="1:14" x14ac:dyDescent="0.25">
      <c r="A14" s="154" t="s">
        <v>27</v>
      </c>
      <c r="B14" s="155">
        <v>9.5</v>
      </c>
      <c r="C14" s="155">
        <v>9.5</v>
      </c>
      <c r="D14" s="155">
        <v>9.5</v>
      </c>
      <c r="E14" s="155">
        <v>9.5</v>
      </c>
      <c r="F14" s="155">
        <v>9.5</v>
      </c>
      <c r="G14" s="155">
        <v>9.5</v>
      </c>
      <c r="H14" s="155">
        <v>9.5</v>
      </c>
      <c r="I14" s="155">
        <v>9.5</v>
      </c>
      <c r="J14" s="155">
        <v>9.5</v>
      </c>
      <c r="K14" s="155">
        <v>9.5</v>
      </c>
      <c r="L14" s="155">
        <v>0</v>
      </c>
      <c r="M14" s="155">
        <v>0</v>
      </c>
      <c r="N14" s="155">
        <f t="shared" si="1"/>
        <v>95</v>
      </c>
    </row>
    <row r="15" spans="1:14" x14ac:dyDescent="0.25">
      <c r="A15" s="154" t="s">
        <v>264</v>
      </c>
      <c r="B15" s="155">
        <v>0</v>
      </c>
      <c r="C15" s="155">
        <v>47.5</v>
      </c>
      <c r="D15" s="155">
        <v>47.5</v>
      </c>
      <c r="E15" s="155">
        <v>47.5</v>
      </c>
      <c r="F15" s="155">
        <v>47.5</v>
      </c>
      <c r="G15" s="155">
        <v>47.5</v>
      </c>
      <c r="H15" s="155">
        <v>47.5</v>
      </c>
      <c r="I15" s="155">
        <v>47.5</v>
      </c>
      <c r="J15" s="155">
        <v>47.5</v>
      </c>
      <c r="K15" s="155">
        <v>47.5</v>
      </c>
      <c r="L15" s="155">
        <v>47.5</v>
      </c>
      <c r="M15" s="155">
        <v>0</v>
      </c>
      <c r="N15" s="155">
        <f t="shared" si="1"/>
        <v>475</v>
      </c>
    </row>
    <row r="16" spans="1:14" x14ac:dyDescent="0.25">
      <c r="A16" s="154" t="s">
        <v>361</v>
      </c>
      <c r="B16" s="155">
        <v>47.5</v>
      </c>
      <c r="C16" s="155">
        <v>0</v>
      </c>
      <c r="D16" s="155">
        <v>0</v>
      </c>
      <c r="E16" s="155">
        <v>0</v>
      </c>
      <c r="F16" s="155">
        <v>0</v>
      </c>
      <c r="G16" s="155">
        <v>0</v>
      </c>
      <c r="H16" s="155">
        <v>47.5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si="1"/>
        <v>95</v>
      </c>
    </row>
    <row r="17" spans="1:14" x14ac:dyDescent="0.25">
      <c r="A17" s="154" t="s">
        <v>267</v>
      </c>
      <c r="B17" s="155">
        <v>20</v>
      </c>
      <c r="C17" s="155">
        <v>0</v>
      </c>
      <c r="D17" s="155">
        <v>0</v>
      </c>
      <c r="E17" s="155">
        <v>0</v>
      </c>
      <c r="F17" s="155">
        <v>0</v>
      </c>
      <c r="G17" s="155">
        <v>20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1"/>
        <v>40</v>
      </c>
    </row>
    <row r="18" spans="1:14" x14ac:dyDescent="0.25">
      <c r="A18" s="154" t="s">
        <v>270</v>
      </c>
      <c r="B18" s="155">
        <v>12</v>
      </c>
      <c r="C18" s="155">
        <v>12</v>
      </c>
      <c r="D18" s="155">
        <v>12</v>
      </c>
      <c r="E18" s="155">
        <v>12</v>
      </c>
      <c r="F18" s="155">
        <v>12</v>
      </c>
      <c r="G18" s="155">
        <v>12</v>
      </c>
      <c r="H18" s="155">
        <v>12</v>
      </c>
      <c r="I18" s="155">
        <v>12</v>
      </c>
      <c r="J18" s="155">
        <v>12</v>
      </c>
      <c r="K18" s="155">
        <v>12</v>
      </c>
      <c r="L18" s="155">
        <v>12</v>
      </c>
      <c r="M18" s="155">
        <v>12</v>
      </c>
      <c r="N18" s="155">
        <f t="shared" si="1"/>
        <v>144</v>
      </c>
    </row>
    <row r="19" spans="1:14" x14ac:dyDescent="0.25">
      <c r="A19" s="154" t="s">
        <v>331</v>
      </c>
      <c r="B19" s="155">
        <v>0</v>
      </c>
      <c r="C19" s="155">
        <v>9.6999999999999993</v>
      </c>
      <c r="D19" s="155">
        <v>9.6999999999999993</v>
      </c>
      <c r="E19" s="155">
        <v>9.6999999999999993</v>
      </c>
      <c r="F19" s="155">
        <v>9.6999999999999993</v>
      </c>
      <c r="G19" s="155">
        <v>9.6999999999999993</v>
      </c>
      <c r="H19" s="155">
        <v>9.6999999999999993</v>
      </c>
      <c r="I19" s="155">
        <v>9.6999999999999993</v>
      </c>
      <c r="J19" s="155">
        <v>9.6999999999999993</v>
      </c>
      <c r="K19" s="155">
        <v>9.6999999999999993</v>
      </c>
      <c r="L19" s="155">
        <v>9.6999999999999993</v>
      </c>
      <c r="M19" s="155">
        <v>0</v>
      </c>
      <c r="N19" s="155">
        <f t="shared" si="1"/>
        <v>97.000000000000014</v>
      </c>
    </row>
    <row r="20" spans="1:14" x14ac:dyDescent="0.25">
      <c r="A20" s="156" t="s">
        <v>196</v>
      </c>
      <c r="B20" s="157">
        <f>SUM(B11:B19)</f>
        <v>159</v>
      </c>
      <c r="C20" s="157">
        <f t="shared" ref="C20:N20" si="2">SUM(C11:C19)</f>
        <v>564.70000000000005</v>
      </c>
      <c r="D20" s="157">
        <f t="shared" si="2"/>
        <v>144.69999999999999</v>
      </c>
      <c r="E20" s="157">
        <f t="shared" si="2"/>
        <v>144.69999999999999</v>
      </c>
      <c r="F20" s="157">
        <f t="shared" si="2"/>
        <v>144.69999999999999</v>
      </c>
      <c r="G20" s="157">
        <f t="shared" si="2"/>
        <v>164.7</v>
      </c>
      <c r="H20" s="157">
        <f t="shared" si="2"/>
        <v>192.2</v>
      </c>
      <c r="I20" s="157">
        <f t="shared" si="2"/>
        <v>144.69999999999999</v>
      </c>
      <c r="J20" s="157">
        <f t="shared" si="2"/>
        <v>144.69999999999999</v>
      </c>
      <c r="K20" s="157">
        <f t="shared" si="2"/>
        <v>144.69999999999999</v>
      </c>
      <c r="L20" s="157">
        <f t="shared" si="2"/>
        <v>135.19999999999999</v>
      </c>
      <c r="M20" s="157">
        <f t="shared" si="2"/>
        <v>12</v>
      </c>
      <c r="N20" s="157">
        <f t="shared" si="2"/>
        <v>2096</v>
      </c>
    </row>
    <row r="21" spans="1:14" x14ac:dyDescent="0.25">
      <c r="A21" s="158" t="s">
        <v>197</v>
      </c>
      <c r="B21" s="157">
        <f t="shared" ref="B21" si="3">SUM(B20)</f>
        <v>159</v>
      </c>
      <c r="C21" s="157">
        <f t="shared" ref="C21:N21" si="4">SUM(C20)</f>
        <v>564.70000000000005</v>
      </c>
      <c r="D21" s="157">
        <f t="shared" si="4"/>
        <v>144.69999999999999</v>
      </c>
      <c r="E21" s="157">
        <f t="shared" si="4"/>
        <v>144.69999999999999</v>
      </c>
      <c r="F21" s="157">
        <f t="shared" si="4"/>
        <v>144.69999999999999</v>
      </c>
      <c r="G21" s="157">
        <f t="shared" si="4"/>
        <v>164.7</v>
      </c>
      <c r="H21" s="157">
        <f t="shared" si="4"/>
        <v>192.2</v>
      </c>
      <c r="I21" s="157">
        <f t="shared" si="4"/>
        <v>144.69999999999999</v>
      </c>
      <c r="J21" s="157">
        <f t="shared" si="4"/>
        <v>144.69999999999999</v>
      </c>
      <c r="K21" s="157">
        <f t="shared" si="4"/>
        <v>144.69999999999999</v>
      </c>
      <c r="L21" s="157">
        <f t="shared" si="4"/>
        <v>135.19999999999999</v>
      </c>
      <c r="M21" s="157">
        <f t="shared" si="4"/>
        <v>12</v>
      </c>
      <c r="N21" s="157">
        <f t="shared" si="4"/>
        <v>2096</v>
      </c>
    </row>
    <row r="22" spans="1:14" x14ac:dyDescent="0.25">
      <c r="A22" s="149" t="s">
        <v>198</v>
      </c>
      <c r="B22" s="150">
        <f>B8-B21</f>
        <v>-159</v>
      </c>
      <c r="C22" s="150">
        <f t="shared" ref="C22:N22" si="5">C8-C21</f>
        <v>-564.70000000000005</v>
      </c>
      <c r="D22" s="150">
        <f t="shared" si="5"/>
        <v>-144.69999999999999</v>
      </c>
      <c r="E22" s="150">
        <f t="shared" si="5"/>
        <v>-144.69999999999999</v>
      </c>
      <c r="F22" s="150">
        <f t="shared" si="5"/>
        <v>-144.69999999999999</v>
      </c>
      <c r="G22" s="150">
        <f t="shared" si="5"/>
        <v>-164.7</v>
      </c>
      <c r="H22" s="150">
        <f t="shared" si="5"/>
        <v>-192.2</v>
      </c>
      <c r="I22" s="150">
        <f t="shared" si="5"/>
        <v>-144.69999999999999</v>
      </c>
      <c r="J22" s="150">
        <f t="shared" si="5"/>
        <v>-144.69999999999999</v>
      </c>
      <c r="K22" s="150">
        <f t="shared" si="5"/>
        <v>-144.69999999999999</v>
      </c>
      <c r="L22" s="150">
        <f t="shared" si="5"/>
        <v>-135.19999999999999</v>
      </c>
      <c r="M22" s="150">
        <f t="shared" si="5"/>
        <v>-12</v>
      </c>
      <c r="N22" s="150">
        <f t="shared" si="5"/>
        <v>-2096</v>
      </c>
    </row>
    <row r="23" spans="1:14" x14ac:dyDescent="0.25">
      <c r="A23" s="151" t="s">
        <v>199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</row>
    <row r="24" spans="1:14" x14ac:dyDescent="0.25">
      <c r="A24" s="153" t="s">
        <v>202</v>
      </c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</row>
    <row r="25" spans="1:14" x14ac:dyDescent="0.25">
      <c r="A25" s="154" t="s">
        <v>230</v>
      </c>
      <c r="B25" s="155">
        <v>0</v>
      </c>
      <c r="C25" s="155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5">
        <v>0</v>
      </c>
      <c r="M25" s="155">
        <v>0</v>
      </c>
      <c r="N25" s="155">
        <f>SUM(B25:M25)</f>
        <v>0</v>
      </c>
    </row>
    <row r="26" spans="1:14" x14ac:dyDescent="0.25">
      <c r="A26" s="156" t="s">
        <v>203</v>
      </c>
      <c r="B26" s="157">
        <f t="shared" ref="B26:B27" si="6">SUM(B25)</f>
        <v>0</v>
      </c>
      <c r="C26" s="157">
        <f t="shared" ref="C26:N27" si="7">SUM(C25)</f>
        <v>0</v>
      </c>
      <c r="D26" s="157">
        <f t="shared" si="7"/>
        <v>0</v>
      </c>
      <c r="E26" s="157">
        <f t="shared" si="7"/>
        <v>0</v>
      </c>
      <c r="F26" s="157">
        <f t="shared" si="7"/>
        <v>0</v>
      </c>
      <c r="G26" s="157">
        <f t="shared" si="7"/>
        <v>0</v>
      </c>
      <c r="H26" s="157">
        <f t="shared" si="7"/>
        <v>0</v>
      </c>
      <c r="I26" s="157">
        <f t="shared" si="7"/>
        <v>0</v>
      </c>
      <c r="J26" s="157">
        <f t="shared" si="7"/>
        <v>0</v>
      </c>
      <c r="K26" s="157">
        <f t="shared" si="7"/>
        <v>0</v>
      </c>
      <c r="L26" s="157">
        <f t="shared" si="7"/>
        <v>0</v>
      </c>
      <c r="M26" s="157">
        <f t="shared" si="7"/>
        <v>0</v>
      </c>
      <c r="N26" s="157">
        <f t="shared" si="7"/>
        <v>0</v>
      </c>
    </row>
    <row r="27" spans="1:14" x14ac:dyDescent="0.25">
      <c r="A27" s="158" t="s">
        <v>206</v>
      </c>
      <c r="B27" s="157">
        <f t="shared" si="6"/>
        <v>0</v>
      </c>
      <c r="C27" s="157">
        <f t="shared" si="7"/>
        <v>0</v>
      </c>
      <c r="D27" s="157">
        <f t="shared" si="7"/>
        <v>0</v>
      </c>
      <c r="E27" s="157">
        <f t="shared" si="7"/>
        <v>0</v>
      </c>
      <c r="F27" s="157">
        <f t="shared" si="7"/>
        <v>0</v>
      </c>
      <c r="G27" s="157">
        <f t="shared" si="7"/>
        <v>0</v>
      </c>
      <c r="H27" s="157">
        <f t="shared" si="7"/>
        <v>0</v>
      </c>
      <c r="I27" s="157">
        <f t="shared" si="7"/>
        <v>0</v>
      </c>
      <c r="J27" s="157">
        <f t="shared" si="7"/>
        <v>0</v>
      </c>
      <c r="K27" s="157">
        <f t="shared" si="7"/>
        <v>0</v>
      </c>
      <c r="L27" s="157">
        <f t="shared" si="7"/>
        <v>0</v>
      </c>
      <c r="M27" s="157">
        <f t="shared" si="7"/>
        <v>0</v>
      </c>
      <c r="N27" s="157">
        <f t="shared" si="7"/>
        <v>0</v>
      </c>
    </row>
    <row r="28" spans="1:14" x14ac:dyDescent="0.25">
      <c r="A28" s="149" t="s">
        <v>31</v>
      </c>
      <c r="B28" s="150">
        <f t="shared" ref="B28:N28" si="8">B22+B27+0</f>
        <v>-159</v>
      </c>
      <c r="C28" s="150">
        <f t="shared" si="8"/>
        <v>-564.70000000000005</v>
      </c>
      <c r="D28" s="150">
        <f t="shared" si="8"/>
        <v>-144.69999999999999</v>
      </c>
      <c r="E28" s="150">
        <f t="shared" si="8"/>
        <v>-144.69999999999999</v>
      </c>
      <c r="F28" s="150">
        <f t="shared" si="8"/>
        <v>-144.69999999999999</v>
      </c>
      <c r="G28" s="150">
        <f t="shared" si="8"/>
        <v>-164.7</v>
      </c>
      <c r="H28" s="150">
        <f t="shared" si="8"/>
        <v>-192.2</v>
      </c>
      <c r="I28" s="150">
        <f t="shared" si="8"/>
        <v>-144.69999999999999</v>
      </c>
      <c r="J28" s="150">
        <f t="shared" si="8"/>
        <v>-144.69999999999999</v>
      </c>
      <c r="K28" s="150">
        <f t="shared" si="8"/>
        <v>-144.69999999999999</v>
      </c>
      <c r="L28" s="150">
        <f t="shared" si="8"/>
        <v>-135.19999999999999</v>
      </c>
      <c r="M28" s="150">
        <f t="shared" si="8"/>
        <v>-12</v>
      </c>
      <c r="N28" s="150">
        <f t="shared" si="8"/>
        <v>-2096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C0132-2DD6-1A46-B1EB-9CD32E93EF4A}">
  <sheetPr codeName="Sheet20">
    <tabColor rgb="FFFFFF00"/>
  </sheetPr>
  <dimension ref="A1:N22"/>
  <sheetViews>
    <sheetView zoomScaleNormal="100" workbookViewId="0">
      <selection activeCell="B11" sqref="B11:M18"/>
    </sheetView>
  </sheetViews>
  <sheetFormatPr defaultColWidth="6.5" defaultRowHeight="15.75" x14ac:dyDescent="0.25"/>
  <cols>
    <col min="1" max="1" width="46.125" bestFit="1" customWidth="1"/>
    <col min="2" max="3" width="7.25" bestFit="1" customWidth="1"/>
    <col min="4" max="4" width="6.75" bestFit="1" customWidth="1"/>
    <col min="5" max="5" width="7.875" customWidth="1"/>
    <col min="6" max="6" width="9.75" customWidth="1"/>
    <col min="7" max="7" width="8.25" customWidth="1"/>
    <col min="8" max="8" width="8.625" customWidth="1"/>
    <col min="9" max="9" width="6.75" bestFit="1" customWidth="1"/>
    <col min="10" max="11" width="7.25" bestFit="1" customWidth="1"/>
    <col min="12" max="13" width="7.25" customWidth="1"/>
    <col min="14" max="14" width="8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362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M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>SUM(B8:M8)</f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344</v>
      </c>
      <c r="B11" s="155">
        <v>125</v>
      </c>
      <c r="C11" s="155">
        <v>100</v>
      </c>
      <c r="D11" s="155">
        <v>0</v>
      </c>
      <c r="E11" s="155">
        <v>0</v>
      </c>
      <c r="F11" s="155">
        <v>0</v>
      </c>
      <c r="G11" s="155">
        <v>75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8" si="1">SUM(B11:M11)</f>
        <v>300</v>
      </c>
    </row>
    <row r="12" spans="1:14" x14ac:dyDescent="0.25">
      <c r="A12" s="154" t="s">
        <v>345</v>
      </c>
      <c r="B12" s="155">
        <v>0</v>
      </c>
      <c r="C12" s="155">
        <v>0</v>
      </c>
      <c r="D12" s="155">
        <v>0</v>
      </c>
      <c r="E12" s="155">
        <v>150</v>
      </c>
      <c r="F12" s="155">
        <v>250</v>
      </c>
      <c r="G12" s="155">
        <v>0</v>
      </c>
      <c r="H12" s="155">
        <v>0</v>
      </c>
      <c r="I12" s="155">
        <v>600</v>
      </c>
      <c r="J12" s="155">
        <v>250</v>
      </c>
      <c r="K12" s="155">
        <v>600</v>
      </c>
      <c r="L12" s="155">
        <v>0</v>
      </c>
      <c r="M12" s="155">
        <v>0</v>
      </c>
      <c r="N12" s="155">
        <f t="shared" si="1"/>
        <v>1850</v>
      </c>
    </row>
    <row r="13" spans="1:14" x14ac:dyDescent="0.25">
      <c r="A13" s="154" t="s">
        <v>336</v>
      </c>
      <c r="B13" s="155">
        <v>0</v>
      </c>
      <c r="C13" s="155">
        <v>150</v>
      </c>
      <c r="D13" s="155">
        <v>150</v>
      </c>
      <c r="E13" s="155">
        <v>150</v>
      </c>
      <c r="F13" s="155">
        <v>150</v>
      </c>
      <c r="G13" s="155">
        <v>150</v>
      </c>
      <c r="H13" s="155">
        <v>150</v>
      </c>
      <c r="I13" s="155">
        <v>150</v>
      </c>
      <c r="J13" s="155">
        <v>150</v>
      </c>
      <c r="K13" s="155">
        <v>150</v>
      </c>
      <c r="L13" s="155">
        <v>150</v>
      </c>
      <c r="M13" s="155">
        <v>0</v>
      </c>
      <c r="N13" s="155">
        <f t="shared" si="1"/>
        <v>1500</v>
      </c>
    </row>
    <row r="14" spans="1:14" x14ac:dyDescent="0.25">
      <c r="A14" s="154" t="s">
        <v>264</v>
      </c>
      <c r="B14" s="155">
        <v>0</v>
      </c>
      <c r="C14" s="155">
        <v>40</v>
      </c>
      <c r="D14" s="155">
        <v>40</v>
      </c>
      <c r="E14" s="155">
        <v>40</v>
      </c>
      <c r="F14" s="155">
        <v>40</v>
      </c>
      <c r="G14" s="155">
        <v>40</v>
      </c>
      <c r="H14" s="155">
        <v>40</v>
      </c>
      <c r="I14" s="155">
        <v>40</v>
      </c>
      <c r="J14" s="155">
        <v>40</v>
      </c>
      <c r="K14" s="155">
        <v>40</v>
      </c>
      <c r="L14" s="155">
        <v>40</v>
      </c>
      <c r="M14" s="155">
        <v>0</v>
      </c>
      <c r="N14" s="155">
        <f t="shared" si="1"/>
        <v>400</v>
      </c>
    </row>
    <row r="15" spans="1:14" x14ac:dyDescent="0.25">
      <c r="A15" s="154" t="s">
        <v>330</v>
      </c>
      <c r="B15" s="155">
        <v>0</v>
      </c>
      <c r="C15" s="155">
        <v>0</v>
      </c>
      <c r="D15" s="155">
        <v>0</v>
      </c>
      <c r="E15" s="155">
        <v>0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si="1"/>
        <v>0</v>
      </c>
    </row>
    <row r="16" spans="1:14" x14ac:dyDescent="0.25">
      <c r="A16" s="154" t="s">
        <v>267</v>
      </c>
      <c r="B16" s="155">
        <v>40</v>
      </c>
      <c r="C16" s="155">
        <v>40</v>
      </c>
      <c r="D16" s="155">
        <v>40</v>
      </c>
      <c r="E16" s="155">
        <v>40</v>
      </c>
      <c r="F16" s="155">
        <v>40</v>
      </c>
      <c r="G16" s="155">
        <v>40</v>
      </c>
      <c r="H16" s="155">
        <v>40</v>
      </c>
      <c r="I16" s="155">
        <v>40</v>
      </c>
      <c r="J16" s="155">
        <v>40</v>
      </c>
      <c r="K16" s="155">
        <v>40</v>
      </c>
      <c r="L16" s="155">
        <v>40</v>
      </c>
      <c r="M16" s="155">
        <v>40</v>
      </c>
      <c r="N16" s="155">
        <f t="shared" si="1"/>
        <v>480</v>
      </c>
    </row>
    <row r="17" spans="1:14" x14ac:dyDescent="0.25">
      <c r="A17" s="154" t="s">
        <v>355</v>
      </c>
      <c r="B17" s="155">
        <v>20</v>
      </c>
      <c r="C17" s="155">
        <v>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1"/>
        <v>20</v>
      </c>
    </row>
    <row r="18" spans="1:14" x14ac:dyDescent="0.25">
      <c r="A18" s="154" t="s">
        <v>270</v>
      </c>
      <c r="B18" s="155">
        <v>12</v>
      </c>
      <c r="C18" s="155">
        <v>12</v>
      </c>
      <c r="D18" s="155">
        <v>12</v>
      </c>
      <c r="E18" s="155">
        <v>12</v>
      </c>
      <c r="F18" s="155">
        <v>125</v>
      </c>
      <c r="G18" s="155">
        <v>12</v>
      </c>
      <c r="H18" s="155">
        <v>12</v>
      </c>
      <c r="I18" s="155">
        <v>12</v>
      </c>
      <c r="J18" s="155">
        <v>12</v>
      </c>
      <c r="K18" s="155">
        <v>12</v>
      </c>
      <c r="L18" s="155">
        <v>12</v>
      </c>
      <c r="M18" s="155">
        <v>12</v>
      </c>
      <c r="N18" s="155">
        <f t="shared" si="1"/>
        <v>257</v>
      </c>
    </row>
    <row r="19" spans="1:14" x14ac:dyDescent="0.25">
      <c r="A19" s="156" t="s">
        <v>196</v>
      </c>
      <c r="B19" s="157">
        <f>SUM(B11:B18)</f>
        <v>197</v>
      </c>
      <c r="C19" s="157">
        <f t="shared" ref="C19:N19" si="2">SUM(C11:C18)</f>
        <v>342</v>
      </c>
      <c r="D19" s="157">
        <f t="shared" si="2"/>
        <v>242</v>
      </c>
      <c r="E19" s="157">
        <f t="shared" si="2"/>
        <v>392</v>
      </c>
      <c r="F19" s="157">
        <f t="shared" si="2"/>
        <v>605</v>
      </c>
      <c r="G19" s="157">
        <f t="shared" si="2"/>
        <v>317</v>
      </c>
      <c r="H19" s="157">
        <f t="shared" si="2"/>
        <v>242</v>
      </c>
      <c r="I19" s="157">
        <f t="shared" si="2"/>
        <v>842</v>
      </c>
      <c r="J19" s="157">
        <f t="shared" si="2"/>
        <v>492</v>
      </c>
      <c r="K19" s="157">
        <f t="shared" si="2"/>
        <v>842</v>
      </c>
      <c r="L19" s="157">
        <f t="shared" si="2"/>
        <v>242</v>
      </c>
      <c r="M19" s="157">
        <f t="shared" si="2"/>
        <v>52</v>
      </c>
      <c r="N19" s="157">
        <f t="shared" si="2"/>
        <v>4807</v>
      </c>
    </row>
    <row r="20" spans="1:14" x14ac:dyDescent="0.25">
      <c r="A20" s="158" t="s">
        <v>197</v>
      </c>
      <c r="B20" s="157">
        <f t="shared" ref="B20:N20" si="3">SUM(B19)</f>
        <v>197</v>
      </c>
      <c r="C20" s="157">
        <f t="shared" ref="C20:M20" si="4">SUM(C19)</f>
        <v>342</v>
      </c>
      <c r="D20" s="157">
        <f t="shared" si="4"/>
        <v>242</v>
      </c>
      <c r="E20" s="157">
        <f t="shared" si="4"/>
        <v>392</v>
      </c>
      <c r="F20" s="157">
        <f t="shared" si="4"/>
        <v>605</v>
      </c>
      <c r="G20" s="157">
        <f t="shared" si="4"/>
        <v>317</v>
      </c>
      <c r="H20" s="157">
        <f t="shared" si="4"/>
        <v>242</v>
      </c>
      <c r="I20" s="157">
        <f t="shared" si="4"/>
        <v>842</v>
      </c>
      <c r="J20" s="157">
        <f t="shared" si="4"/>
        <v>492</v>
      </c>
      <c r="K20" s="157">
        <f t="shared" si="4"/>
        <v>842</v>
      </c>
      <c r="L20" s="157">
        <f t="shared" si="4"/>
        <v>242</v>
      </c>
      <c r="M20" s="157">
        <f t="shared" si="4"/>
        <v>52</v>
      </c>
      <c r="N20" s="157">
        <f t="shared" si="3"/>
        <v>4807</v>
      </c>
    </row>
    <row r="21" spans="1:14" x14ac:dyDescent="0.25">
      <c r="A21" s="149" t="s">
        <v>198</v>
      </c>
      <c r="B21" s="150">
        <f t="shared" ref="B21:N21" si="5">B8-B20</f>
        <v>-197</v>
      </c>
      <c r="C21" s="150">
        <f t="shared" si="5"/>
        <v>-342</v>
      </c>
      <c r="D21" s="150">
        <f t="shared" si="5"/>
        <v>-242</v>
      </c>
      <c r="E21" s="150">
        <f t="shared" si="5"/>
        <v>-392</v>
      </c>
      <c r="F21" s="150">
        <f t="shared" si="5"/>
        <v>-605</v>
      </c>
      <c r="G21" s="150">
        <f t="shared" si="5"/>
        <v>-317</v>
      </c>
      <c r="H21" s="150">
        <f t="shared" si="5"/>
        <v>-242</v>
      </c>
      <c r="I21" s="150">
        <f t="shared" si="5"/>
        <v>-842</v>
      </c>
      <c r="J21" s="150">
        <f t="shared" si="5"/>
        <v>-492</v>
      </c>
      <c r="K21" s="150">
        <f t="shared" si="5"/>
        <v>-842</v>
      </c>
      <c r="L21" s="150">
        <f t="shared" si="5"/>
        <v>-242</v>
      </c>
      <c r="M21" s="150">
        <f t="shared" si="5"/>
        <v>-52</v>
      </c>
      <c r="N21" s="150">
        <f t="shared" si="5"/>
        <v>-4807</v>
      </c>
    </row>
    <row r="22" spans="1:14" x14ac:dyDescent="0.25">
      <c r="A22" s="149" t="s">
        <v>31</v>
      </c>
      <c r="B22" s="150">
        <f t="shared" ref="B22:N22" si="6">B21+0+0</f>
        <v>-197</v>
      </c>
      <c r="C22" s="150">
        <f t="shared" si="6"/>
        <v>-342</v>
      </c>
      <c r="D22" s="150">
        <f t="shared" si="6"/>
        <v>-242</v>
      </c>
      <c r="E22" s="150">
        <f t="shared" si="6"/>
        <v>-392</v>
      </c>
      <c r="F22" s="150">
        <f t="shared" si="6"/>
        <v>-605</v>
      </c>
      <c r="G22" s="150">
        <f t="shared" si="6"/>
        <v>-317</v>
      </c>
      <c r="H22" s="150">
        <f t="shared" si="6"/>
        <v>-242</v>
      </c>
      <c r="I22" s="150">
        <f t="shared" si="6"/>
        <v>-842</v>
      </c>
      <c r="J22" s="150">
        <f t="shared" si="6"/>
        <v>-492</v>
      </c>
      <c r="K22" s="150">
        <f t="shared" si="6"/>
        <v>-842</v>
      </c>
      <c r="L22" s="150">
        <f t="shared" si="6"/>
        <v>-242</v>
      </c>
      <c r="M22" s="150">
        <f t="shared" si="6"/>
        <v>-52</v>
      </c>
      <c r="N22" s="150">
        <f t="shared" si="6"/>
        <v>-4807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F8698-4131-E143-BA0A-080333911190}">
  <sheetPr codeName="Sheet21">
    <tabColor rgb="FFFFFF00"/>
  </sheetPr>
  <dimension ref="A1:N25"/>
  <sheetViews>
    <sheetView workbookViewId="0">
      <selection activeCell="H31" sqref="H31"/>
    </sheetView>
  </sheetViews>
  <sheetFormatPr defaultColWidth="6.5" defaultRowHeight="15.75" x14ac:dyDescent="0.25"/>
  <cols>
    <col min="1" max="1" width="46.125" bestFit="1" customWidth="1"/>
    <col min="2" max="2" width="6.75" bestFit="1" customWidth="1"/>
    <col min="3" max="3" width="7.5" bestFit="1" customWidth="1"/>
    <col min="4" max="5" width="7.875" bestFit="1" customWidth="1"/>
    <col min="6" max="6" width="8.625" bestFit="1" customWidth="1"/>
    <col min="7" max="9" width="8" customWidth="1"/>
    <col min="10" max="10" width="10.25" customWidth="1"/>
    <col min="11" max="11" width="7.25" bestFit="1" customWidth="1"/>
    <col min="12" max="13" width="6.5" customWidth="1"/>
    <col min="14" max="14" width="8.62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363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M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>SUM(B8:M8)</f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353</v>
      </c>
      <c r="B11" s="155">
        <v>0</v>
      </c>
      <c r="C11" s="155">
        <v>0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>SUM(B11:M11)</f>
        <v>0</v>
      </c>
    </row>
    <row r="12" spans="1:14" x14ac:dyDescent="0.25">
      <c r="A12" s="154" t="s">
        <v>336</v>
      </c>
      <c r="B12" s="155">
        <v>0</v>
      </c>
      <c r="C12" s="155">
        <v>600</v>
      </c>
      <c r="D12" s="155">
        <v>2000</v>
      </c>
      <c r="E12" s="155">
        <v>52500</v>
      </c>
      <c r="F12" s="155">
        <v>1600</v>
      </c>
      <c r="G12" s="155">
        <v>0</v>
      </c>
      <c r="H12" s="155">
        <v>0</v>
      </c>
      <c r="I12" s="155">
        <v>2600</v>
      </c>
      <c r="J12" s="155">
        <v>3000</v>
      </c>
      <c r="K12" s="155">
        <v>0</v>
      </c>
      <c r="L12" s="155">
        <v>0</v>
      </c>
      <c r="M12" s="155">
        <v>0</v>
      </c>
      <c r="N12" s="155">
        <f>SUM(B12:M12)</f>
        <v>62300</v>
      </c>
    </row>
    <row r="13" spans="1:14" x14ac:dyDescent="0.25">
      <c r="A13" s="154" t="s">
        <v>27</v>
      </c>
      <c r="B13" s="155">
        <v>0</v>
      </c>
      <c r="C13" s="155">
        <v>0</v>
      </c>
      <c r="D13" s="155">
        <v>0</v>
      </c>
      <c r="E13" s="155">
        <v>0</v>
      </c>
      <c r="F13" s="155">
        <v>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f t="shared" ref="N13:N16" si="1">SUM(B13:M13)</f>
        <v>0</v>
      </c>
    </row>
    <row r="14" spans="1:14" x14ac:dyDescent="0.25">
      <c r="A14" s="154" t="s">
        <v>264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0</v>
      </c>
    </row>
    <row r="15" spans="1:14" x14ac:dyDescent="0.25">
      <c r="A15" s="154" t="s">
        <v>267</v>
      </c>
      <c r="B15" s="155">
        <v>0</v>
      </c>
      <c r="C15" s="155">
        <v>0</v>
      </c>
      <c r="D15" s="155">
        <v>100</v>
      </c>
      <c r="E15" s="155">
        <v>0</v>
      </c>
      <c r="F15" s="155">
        <v>0</v>
      </c>
      <c r="G15" s="155">
        <v>0</v>
      </c>
      <c r="H15" s="155">
        <v>50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>SUM(B15:M15)</f>
        <v>150</v>
      </c>
    </row>
    <row r="16" spans="1:14" x14ac:dyDescent="0.25">
      <c r="A16" s="154" t="s">
        <v>270</v>
      </c>
      <c r="B16" s="155">
        <v>12</v>
      </c>
      <c r="C16" s="155">
        <v>12</v>
      </c>
      <c r="D16" s="155">
        <v>12</v>
      </c>
      <c r="E16" s="155">
        <v>12</v>
      </c>
      <c r="F16" s="155">
        <v>12</v>
      </c>
      <c r="G16" s="155">
        <v>12</v>
      </c>
      <c r="H16" s="155">
        <v>12</v>
      </c>
      <c r="I16" s="155">
        <v>12</v>
      </c>
      <c r="J16" s="155">
        <v>12</v>
      </c>
      <c r="K16" s="155">
        <v>12</v>
      </c>
      <c r="L16" s="155">
        <v>12</v>
      </c>
      <c r="M16" s="155">
        <v>12</v>
      </c>
      <c r="N16" s="155">
        <f t="shared" si="1"/>
        <v>144</v>
      </c>
    </row>
    <row r="17" spans="1:14" x14ac:dyDescent="0.25">
      <c r="A17" s="156" t="s">
        <v>196</v>
      </c>
      <c r="B17" s="157">
        <f>SUM(B11:B16)</f>
        <v>12</v>
      </c>
      <c r="C17" s="157">
        <f t="shared" ref="C17:N17" si="2">SUM(C11:C16)</f>
        <v>612</v>
      </c>
      <c r="D17" s="157">
        <f t="shared" si="2"/>
        <v>2112</v>
      </c>
      <c r="E17" s="157">
        <f t="shared" si="2"/>
        <v>52512</v>
      </c>
      <c r="F17" s="157">
        <f t="shared" si="2"/>
        <v>1612</v>
      </c>
      <c r="G17" s="157">
        <f t="shared" si="2"/>
        <v>12</v>
      </c>
      <c r="H17" s="157">
        <f t="shared" si="2"/>
        <v>62</v>
      </c>
      <c r="I17" s="157">
        <f t="shared" si="2"/>
        <v>2612</v>
      </c>
      <c r="J17" s="157">
        <f t="shared" si="2"/>
        <v>3012</v>
      </c>
      <c r="K17" s="157">
        <f t="shared" si="2"/>
        <v>12</v>
      </c>
      <c r="L17" s="157">
        <f t="shared" si="2"/>
        <v>12</v>
      </c>
      <c r="M17" s="157">
        <f t="shared" si="2"/>
        <v>12</v>
      </c>
      <c r="N17" s="157">
        <f t="shared" si="2"/>
        <v>62594</v>
      </c>
    </row>
    <row r="18" spans="1:14" x14ac:dyDescent="0.25">
      <c r="A18" s="158" t="s">
        <v>197</v>
      </c>
      <c r="B18" s="157">
        <f t="shared" ref="B18:B19" si="3">SUM(B12)</f>
        <v>0</v>
      </c>
      <c r="C18" s="157">
        <f t="shared" ref="C18:N18" si="4">SUM(C17)</f>
        <v>612</v>
      </c>
      <c r="D18" s="157">
        <f t="shared" si="4"/>
        <v>2112</v>
      </c>
      <c r="E18" s="157">
        <f t="shared" si="4"/>
        <v>52512</v>
      </c>
      <c r="F18" s="157">
        <f t="shared" si="4"/>
        <v>1612</v>
      </c>
      <c r="G18" s="157">
        <f t="shared" si="4"/>
        <v>12</v>
      </c>
      <c r="H18" s="157">
        <f t="shared" si="4"/>
        <v>62</v>
      </c>
      <c r="I18" s="157">
        <f t="shared" si="4"/>
        <v>2612</v>
      </c>
      <c r="J18" s="157">
        <f t="shared" si="4"/>
        <v>3012</v>
      </c>
      <c r="K18" s="157">
        <f t="shared" si="4"/>
        <v>12</v>
      </c>
      <c r="L18" s="157">
        <f t="shared" si="4"/>
        <v>12</v>
      </c>
      <c r="M18" s="157">
        <f t="shared" si="4"/>
        <v>12</v>
      </c>
      <c r="N18" s="157">
        <f t="shared" si="4"/>
        <v>62594</v>
      </c>
    </row>
    <row r="19" spans="1:14" x14ac:dyDescent="0.25">
      <c r="A19" s="149" t="s">
        <v>198</v>
      </c>
      <c r="B19" s="157">
        <f t="shared" si="3"/>
        <v>0</v>
      </c>
      <c r="C19" s="150">
        <f t="shared" ref="C19:N19" si="5">C8-C18</f>
        <v>-612</v>
      </c>
      <c r="D19" s="150">
        <f t="shared" si="5"/>
        <v>-2112</v>
      </c>
      <c r="E19" s="150">
        <f t="shared" si="5"/>
        <v>-52512</v>
      </c>
      <c r="F19" s="150">
        <f t="shared" si="5"/>
        <v>-1612</v>
      </c>
      <c r="G19" s="150">
        <f t="shared" si="5"/>
        <v>-12</v>
      </c>
      <c r="H19" s="150">
        <f t="shared" si="5"/>
        <v>-62</v>
      </c>
      <c r="I19" s="150">
        <f t="shared" si="5"/>
        <v>-2612</v>
      </c>
      <c r="J19" s="150">
        <f t="shared" si="5"/>
        <v>-3012</v>
      </c>
      <c r="K19" s="150">
        <f t="shared" si="5"/>
        <v>-12</v>
      </c>
      <c r="L19" s="150">
        <f t="shared" si="5"/>
        <v>-12</v>
      </c>
      <c r="M19" s="150">
        <f t="shared" si="5"/>
        <v>-12</v>
      </c>
      <c r="N19" s="150">
        <f t="shared" si="5"/>
        <v>-62594</v>
      </c>
    </row>
    <row r="20" spans="1:14" x14ac:dyDescent="0.25">
      <c r="A20" s="151" t="s">
        <v>199</v>
      </c>
      <c r="B20" s="152"/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</row>
    <row r="21" spans="1:14" x14ac:dyDescent="0.25">
      <c r="A21" s="153" t="s">
        <v>202</v>
      </c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</row>
    <row r="22" spans="1:14" x14ac:dyDescent="0.25">
      <c r="A22" s="154" t="s">
        <v>230</v>
      </c>
      <c r="B22" s="155">
        <v>0</v>
      </c>
      <c r="C22" s="155">
        <v>0</v>
      </c>
      <c r="D22" s="155">
        <v>0</v>
      </c>
      <c r="E22" s="155">
        <v>16000</v>
      </c>
      <c r="F22" s="155">
        <v>20000</v>
      </c>
      <c r="G22" s="155">
        <v>0</v>
      </c>
      <c r="H22" s="155">
        <v>0</v>
      </c>
      <c r="I22" s="155">
        <v>2000</v>
      </c>
      <c r="J22" s="155">
        <v>11000</v>
      </c>
      <c r="K22" s="155">
        <v>3000</v>
      </c>
      <c r="L22" s="155">
        <v>0</v>
      </c>
      <c r="M22" s="155">
        <v>0</v>
      </c>
      <c r="N22" s="155">
        <f>SUM(B22:M22)</f>
        <v>52000</v>
      </c>
    </row>
    <row r="23" spans="1:14" x14ac:dyDescent="0.25">
      <c r="A23" s="156" t="s">
        <v>203</v>
      </c>
      <c r="B23" s="157">
        <f t="shared" ref="B23:B24" si="6">SUM(B22)</f>
        <v>0</v>
      </c>
      <c r="C23" s="157">
        <f t="shared" ref="C23:N24" si="7">SUM(C22)</f>
        <v>0</v>
      </c>
      <c r="D23" s="157">
        <f t="shared" si="7"/>
        <v>0</v>
      </c>
      <c r="E23" s="157">
        <v>16000</v>
      </c>
      <c r="F23" s="157">
        <v>20000</v>
      </c>
      <c r="G23" s="157">
        <f t="shared" si="7"/>
        <v>0</v>
      </c>
      <c r="H23" s="157">
        <f t="shared" si="7"/>
        <v>0</v>
      </c>
      <c r="I23" s="157">
        <f t="shared" si="7"/>
        <v>2000</v>
      </c>
      <c r="J23" s="157">
        <f t="shared" si="7"/>
        <v>11000</v>
      </c>
      <c r="K23" s="157">
        <f t="shared" si="7"/>
        <v>3000</v>
      </c>
      <c r="L23" s="157">
        <f t="shared" si="7"/>
        <v>0</v>
      </c>
      <c r="M23" s="157">
        <f t="shared" si="7"/>
        <v>0</v>
      </c>
      <c r="N23" s="157">
        <f t="shared" si="7"/>
        <v>52000</v>
      </c>
    </row>
    <row r="24" spans="1:14" x14ac:dyDescent="0.25">
      <c r="A24" s="158" t="s">
        <v>206</v>
      </c>
      <c r="B24" s="157">
        <f t="shared" si="6"/>
        <v>0</v>
      </c>
      <c r="C24" s="157">
        <f t="shared" si="7"/>
        <v>0</v>
      </c>
      <c r="D24" s="157">
        <f t="shared" si="7"/>
        <v>0</v>
      </c>
      <c r="E24" s="157">
        <f t="shared" si="7"/>
        <v>16000</v>
      </c>
      <c r="F24" s="157">
        <v>20000</v>
      </c>
      <c r="G24" s="157">
        <f t="shared" si="7"/>
        <v>0</v>
      </c>
      <c r="H24" s="157">
        <f t="shared" si="7"/>
        <v>0</v>
      </c>
      <c r="I24" s="157">
        <f t="shared" si="7"/>
        <v>2000</v>
      </c>
      <c r="J24" s="157">
        <f t="shared" si="7"/>
        <v>11000</v>
      </c>
      <c r="K24" s="157">
        <f t="shared" si="7"/>
        <v>3000</v>
      </c>
      <c r="L24" s="157">
        <f t="shared" si="7"/>
        <v>0</v>
      </c>
      <c r="M24" s="157">
        <f t="shared" si="7"/>
        <v>0</v>
      </c>
      <c r="N24" s="157">
        <f t="shared" si="7"/>
        <v>52000</v>
      </c>
    </row>
    <row r="25" spans="1:14" x14ac:dyDescent="0.25">
      <c r="A25" s="149" t="s">
        <v>31</v>
      </c>
      <c r="B25" s="150">
        <f t="shared" ref="B25:N25" si="8">B19+B24+0</f>
        <v>0</v>
      </c>
      <c r="C25" s="150">
        <f t="shared" si="8"/>
        <v>-612</v>
      </c>
      <c r="D25" s="150">
        <f t="shared" si="8"/>
        <v>-2112</v>
      </c>
      <c r="E25" s="150">
        <f t="shared" si="8"/>
        <v>-36512</v>
      </c>
      <c r="F25" s="150">
        <f t="shared" si="8"/>
        <v>18388</v>
      </c>
      <c r="G25" s="150">
        <f t="shared" si="8"/>
        <v>-12</v>
      </c>
      <c r="H25" s="150">
        <f t="shared" si="8"/>
        <v>-62</v>
      </c>
      <c r="I25" s="150">
        <f t="shared" si="8"/>
        <v>-612</v>
      </c>
      <c r="J25" s="150">
        <f t="shared" si="8"/>
        <v>7988</v>
      </c>
      <c r="K25" s="150">
        <f t="shared" si="8"/>
        <v>2988</v>
      </c>
      <c r="L25" s="150">
        <f t="shared" si="8"/>
        <v>-12</v>
      </c>
      <c r="M25" s="150">
        <f t="shared" si="8"/>
        <v>-12</v>
      </c>
      <c r="N25" s="150">
        <f t="shared" si="8"/>
        <v>-10594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451E5-3E39-A342-BB75-47290C55580E}">
  <sheetPr codeName="Sheet22">
    <tabColor rgb="FFFFFF00"/>
  </sheetPr>
  <dimension ref="A1:O27"/>
  <sheetViews>
    <sheetView workbookViewId="0">
      <selection activeCell="I30" sqref="I30"/>
    </sheetView>
  </sheetViews>
  <sheetFormatPr defaultColWidth="6.5" defaultRowHeight="15.75" x14ac:dyDescent="0.25"/>
  <cols>
    <col min="1" max="1" width="46.125" bestFit="1" customWidth="1"/>
    <col min="2" max="2" width="6.5" bestFit="1" customWidth="1"/>
    <col min="3" max="3" width="7.25" bestFit="1" customWidth="1"/>
    <col min="4" max="4" width="6.75" bestFit="1" customWidth="1"/>
    <col min="5" max="8" width="6.875" bestFit="1" customWidth="1"/>
    <col min="9" max="9" width="6.75" bestFit="1" customWidth="1"/>
    <col min="10" max="11" width="6.5" bestFit="1" customWidth="1"/>
    <col min="12" max="12" width="6.5" customWidth="1"/>
    <col min="13" max="13" width="6.5" bestFit="1" customWidth="1"/>
    <col min="14" max="14" width="9.125" customWidth="1"/>
    <col min="15" max="15" width="30.75" customWidth="1"/>
  </cols>
  <sheetData>
    <row r="1" spans="1:15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5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5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5" ht="18" x14ac:dyDescent="0.25">
      <c r="A4" s="365" t="s">
        <v>364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5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5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5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5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5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5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5" x14ac:dyDescent="0.25">
      <c r="A11" s="154" t="s">
        <v>365</v>
      </c>
      <c r="B11" s="155">
        <v>0</v>
      </c>
      <c r="C11" s="155">
        <v>0</v>
      </c>
      <c r="D11" s="155">
        <v>0</v>
      </c>
      <c r="E11" s="155">
        <v>0</v>
      </c>
      <c r="F11" s="155">
        <v>0</v>
      </c>
      <c r="G11" s="155">
        <v>70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15" si="1">SUM(B11:M11)</f>
        <v>70</v>
      </c>
    </row>
    <row r="12" spans="1:15" x14ac:dyDescent="0.25">
      <c r="A12" s="154" t="s">
        <v>344</v>
      </c>
      <c r="B12" s="155">
        <v>150</v>
      </c>
      <c r="C12" s="155">
        <v>157</v>
      </c>
      <c r="D12" s="155">
        <v>0</v>
      </c>
      <c r="E12" s="155">
        <v>0</v>
      </c>
      <c r="F12" s="155">
        <v>0</v>
      </c>
      <c r="G12" s="155">
        <v>50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357</v>
      </c>
    </row>
    <row r="13" spans="1:15" x14ac:dyDescent="0.25">
      <c r="A13" s="154" t="s">
        <v>345</v>
      </c>
      <c r="B13" s="155">
        <v>0</v>
      </c>
      <c r="C13" s="155">
        <v>0</v>
      </c>
      <c r="D13" s="155">
        <v>250</v>
      </c>
      <c r="E13" s="155">
        <v>0</v>
      </c>
      <c r="F13" s="155">
        <v>0</v>
      </c>
      <c r="G13" s="155">
        <v>0</v>
      </c>
      <c r="H13" s="155">
        <v>0</v>
      </c>
      <c r="I13" s="155">
        <v>400</v>
      </c>
      <c r="J13" s="155">
        <v>0</v>
      </c>
      <c r="K13" s="155">
        <v>0</v>
      </c>
      <c r="L13" s="155">
        <v>0</v>
      </c>
      <c r="M13" s="155">
        <v>0</v>
      </c>
      <c r="N13" s="155">
        <f t="shared" si="1"/>
        <v>650</v>
      </c>
    </row>
    <row r="14" spans="1:15" x14ac:dyDescent="0.25">
      <c r="A14" s="154" t="s">
        <v>336</v>
      </c>
      <c r="B14" s="155">
        <v>0</v>
      </c>
      <c r="C14" s="155">
        <v>100</v>
      </c>
      <c r="D14" s="155">
        <v>50</v>
      </c>
      <c r="E14" s="155">
        <v>50</v>
      </c>
      <c r="F14" s="155">
        <v>50</v>
      </c>
      <c r="G14" s="155">
        <v>50</v>
      </c>
      <c r="H14" s="155">
        <v>50</v>
      </c>
      <c r="I14" s="155">
        <v>50</v>
      </c>
      <c r="J14" s="155">
        <v>50</v>
      </c>
      <c r="K14" s="155">
        <v>50</v>
      </c>
      <c r="L14" s="155">
        <v>50</v>
      </c>
      <c r="M14" s="155">
        <v>0</v>
      </c>
      <c r="N14" s="155">
        <f t="shared" si="1"/>
        <v>550</v>
      </c>
      <c r="O14" s="174"/>
    </row>
    <row r="15" spans="1:15" x14ac:dyDescent="0.25">
      <c r="A15" s="154" t="s">
        <v>27</v>
      </c>
      <c r="B15" s="155">
        <v>0</v>
      </c>
      <c r="C15" s="155">
        <v>7</v>
      </c>
      <c r="D15" s="155">
        <v>7</v>
      </c>
      <c r="E15" s="155">
        <v>7</v>
      </c>
      <c r="F15" s="155">
        <v>7</v>
      </c>
      <c r="G15" s="155">
        <v>7</v>
      </c>
      <c r="H15" s="155">
        <v>7</v>
      </c>
      <c r="I15" s="155">
        <v>7</v>
      </c>
      <c r="J15" s="155">
        <v>7</v>
      </c>
      <c r="K15" s="155">
        <v>7</v>
      </c>
      <c r="L15" s="155">
        <v>7</v>
      </c>
      <c r="M15" s="155">
        <v>0</v>
      </c>
      <c r="N15" s="155">
        <f t="shared" si="1"/>
        <v>70</v>
      </c>
      <c r="O15" s="174"/>
    </row>
    <row r="16" spans="1:15" x14ac:dyDescent="0.25">
      <c r="A16" s="154" t="s">
        <v>214</v>
      </c>
      <c r="B16" s="155">
        <v>0</v>
      </c>
      <c r="C16" s="155">
        <v>0</v>
      </c>
      <c r="D16" s="155">
        <v>0</v>
      </c>
      <c r="E16" s="155">
        <v>0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ref="N16:N27" si="2">SUM(B16:M16)</f>
        <v>0</v>
      </c>
    </row>
    <row r="17" spans="1:15" x14ac:dyDescent="0.25">
      <c r="A17" s="154" t="s">
        <v>264</v>
      </c>
      <c r="B17" s="155">
        <v>4.5</v>
      </c>
      <c r="C17" s="155">
        <v>4.5</v>
      </c>
      <c r="D17" s="155">
        <v>4.5</v>
      </c>
      <c r="E17" s="155">
        <v>4.5</v>
      </c>
      <c r="F17" s="155">
        <v>4.5</v>
      </c>
      <c r="G17" s="155">
        <v>4.5</v>
      </c>
      <c r="H17" s="155">
        <v>4.5</v>
      </c>
      <c r="I17" s="155">
        <v>4.5</v>
      </c>
      <c r="J17" s="155">
        <v>4.5</v>
      </c>
      <c r="K17" s="155">
        <v>4.5</v>
      </c>
      <c r="L17" s="155">
        <v>4.5</v>
      </c>
      <c r="M17" s="155">
        <v>4.5</v>
      </c>
      <c r="N17" s="155">
        <f t="shared" si="2"/>
        <v>54</v>
      </c>
      <c r="O17" s="174"/>
    </row>
    <row r="18" spans="1:15" x14ac:dyDescent="0.25">
      <c r="A18" s="154" t="s">
        <v>265</v>
      </c>
      <c r="B18" s="155">
        <v>0</v>
      </c>
      <c r="C18" s="155">
        <v>0</v>
      </c>
      <c r="D18" s="155">
        <v>28</v>
      </c>
      <c r="E18" s="155">
        <v>28</v>
      </c>
      <c r="F18" s="155">
        <v>0</v>
      </c>
      <c r="G18" s="155">
        <v>0</v>
      </c>
      <c r="H18" s="155">
        <v>0</v>
      </c>
      <c r="I18" s="155">
        <v>0</v>
      </c>
      <c r="J18" s="155">
        <v>28</v>
      </c>
      <c r="K18" s="155">
        <v>28</v>
      </c>
      <c r="L18" s="155">
        <v>0</v>
      </c>
      <c r="M18" s="155">
        <v>0</v>
      </c>
      <c r="N18" s="155">
        <f t="shared" si="2"/>
        <v>112</v>
      </c>
      <c r="O18" s="174"/>
    </row>
    <row r="19" spans="1:15" x14ac:dyDescent="0.25">
      <c r="A19" s="154" t="s">
        <v>267</v>
      </c>
      <c r="B19" s="155">
        <v>35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2"/>
        <v>35</v>
      </c>
    </row>
    <row r="20" spans="1:15" x14ac:dyDescent="0.25">
      <c r="A20" s="154" t="s">
        <v>269</v>
      </c>
      <c r="B20" s="155">
        <v>0</v>
      </c>
      <c r="C20" s="155">
        <v>0</v>
      </c>
      <c r="D20" s="155">
        <v>0</v>
      </c>
      <c r="E20" s="155">
        <v>0</v>
      </c>
      <c r="F20" s="155">
        <v>0</v>
      </c>
      <c r="G20" s="155">
        <v>0</v>
      </c>
      <c r="H20" s="155">
        <v>0</v>
      </c>
      <c r="I20" s="155">
        <v>0</v>
      </c>
      <c r="J20" s="155">
        <v>0</v>
      </c>
      <c r="K20" s="155">
        <v>0</v>
      </c>
      <c r="L20" s="155">
        <v>0</v>
      </c>
      <c r="M20" s="155">
        <v>0</v>
      </c>
      <c r="N20" s="155">
        <f t="shared" si="2"/>
        <v>0</v>
      </c>
    </row>
    <row r="21" spans="1:15" x14ac:dyDescent="0.25">
      <c r="A21" s="154" t="s">
        <v>270</v>
      </c>
      <c r="B21" s="155">
        <v>23</v>
      </c>
      <c r="C21" s="155">
        <v>23</v>
      </c>
      <c r="D21" s="155">
        <v>23</v>
      </c>
      <c r="E21" s="155">
        <v>23</v>
      </c>
      <c r="F21" s="155">
        <v>23</v>
      </c>
      <c r="G21" s="155">
        <v>23</v>
      </c>
      <c r="H21" s="155">
        <v>23</v>
      </c>
      <c r="I21" s="155">
        <v>23</v>
      </c>
      <c r="J21" s="155">
        <v>23</v>
      </c>
      <c r="K21" s="155">
        <v>23</v>
      </c>
      <c r="L21" s="155">
        <v>23</v>
      </c>
      <c r="M21" s="155">
        <v>23</v>
      </c>
      <c r="N21" s="155">
        <f t="shared" si="2"/>
        <v>276</v>
      </c>
    </row>
    <row r="22" spans="1:15" x14ac:dyDescent="0.25">
      <c r="A22" s="154" t="s">
        <v>238</v>
      </c>
      <c r="B22" s="155">
        <v>20</v>
      </c>
      <c r="C22" s="155">
        <v>20</v>
      </c>
      <c r="D22" s="155">
        <v>20</v>
      </c>
      <c r="E22" s="155">
        <v>20</v>
      </c>
      <c r="F22" s="155">
        <v>20</v>
      </c>
      <c r="G22" s="155">
        <v>20</v>
      </c>
      <c r="H22" s="155">
        <v>20</v>
      </c>
      <c r="I22" s="155">
        <v>20</v>
      </c>
      <c r="J22" s="155">
        <v>20</v>
      </c>
      <c r="K22" s="155">
        <v>20</v>
      </c>
      <c r="L22" s="155">
        <v>20</v>
      </c>
      <c r="M22" s="155">
        <v>20</v>
      </c>
      <c r="N22" s="155">
        <f t="shared" si="2"/>
        <v>240</v>
      </c>
      <c r="O22" s="174"/>
    </row>
    <row r="23" spans="1:15" x14ac:dyDescent="0.25">
      <c r="A23" s="154" t="s">
        <v>331</v>
      </c>
      <c r="B23" s="155">
        <v>135</v>
      </c>
      <c r="C23" s="155">
        <v>135</v>
      </c>
      <c r="D23" s="155">
        <v>135</v>
      </c>
      <c r="E23" s="155">
        <v>135</v>
      </c>
      <c r="F23" s="155">
        <v>135</v>
      </c>
      <c r="G23" s="155">
        <v>135</v>
      </c>
      <c r="H23" s="155">
        <v>135</v>
      </c>
      <c r="I23" s="155">
        <v>135</v>
      </c>
      <c r="J23" s="155">
        <v>135</v>
      </c>
      <c r="K23" s="155">
        <v>135</v>
      </c>
      <c r="L23" s="155">
        <v>0</v>
      </c>
      <c r="M23" s="155">
        <v>0</v>
      </c>
      <c r="N23" s="155">
        <f t="shared" si="2"/>
        <v>1350</v>
      </c>
      <c r="O23" s="174"/>
    </row>
    <row r="24" spans="1:15" x14ac:dyDescent="0.25">
      <c r="A24" s="156" t="s">
        <v>196</v>
      </c>
      <c r="B24" s="157">
        <f t="shared" ref="B24:M24" si="3">SUM(B11:B23)</f>
        <v>367.5</v>
      </c>
      <c r="C24" s="157">
        <f t="shared" si="3"/>
        <v>446.5</v>
      </c>
      <c r="D24" s="157">
        <f t="shared" si="3"/>
        <v>517.5</v>
      </c>
      <c r="E24" s="157">
        <f t="shared" si="3"/>
        <v>267.5</v>
      </c>
      <c r="F24" s="157">
        <f t="shared" si="3"/>
        <v>239.5</v>
      </c>
      <c r="G24" s="157">
        <f t="shared" si="3"/>
        <v>359.5</v>
      </c>
      <c r="H24" s="157">
        <f t="shared" si="3"/>
        <v>239.5</v>
      </c>
      <c r="I24" s="157">
        <f t="shared" si="3"/>
        <v>639.5</v>
      </c>
      <c r="J24" s="157">
        <f t="shared" si="3"/>
        <v>267.5</v>
      </c>
      <c r="K24" s="157">
        <f t="shared" si="3"/>
        <v>267.5</v>
      </c>
      <c r="L24" s="157">
        <f t="shared" si="3"/>
        <v>104.5</v>
      </c>
      <c r="M24" s="157">
        <f t="shared" si="3"/>
        <v>47.5</v>
      </c>
      <c r="N24" s="152">
        <f t="shared" si="2"/>
        <v>3764</v>
      </c>
    </row>
    <row r="25" spans="1:15" x14ac:dyDescent="0.25">
      <c r="A25" s="158" t="s">
        <v>197</v>
      </c>
      <c r="B25" s="157">
        <f t="shared" ref="B25:K25" si="4">SUM(B24)</f>
        <v>367.5</v>
      </c>
      <c r="C25" s="157">
        <f t="shared" si="4"/>
        <v>446.5</v>
      </c>
      <c r="D25" s="157">
        <f t="shared" si="4"/>
        <v>517.5</v>
      </c>
      <c r="E25" s="157">
        <f t="shared" ref="E25" si="5">SUM(E24)</f>
        <v>267.5</v>
      </c>
      <c r="F25" s="157">
        <f t="shared" si="4"/>
        <v>239.5</v>
      </c>
      <c r="G25" s="157">
        <f t="shared" ref="G25:H25" si="6">SUM(G24)</f>
        <v>359.5</v>
      </c>
      <c r="H25" s="157">
        <f t="shared" si="6"/>
        <v>239.5</v>
      </c>
      <c r="I25" s="157">
        <f t="shared" si="4"/>
        <v>639.5</v>
      </c>
      <c r="J25" s="157">
        <f t="shared" si="4"/>
        <v>267.5</v>
      </c>
      <c r="K25" s="157">
        <f t="shared" si="4"/>
        <v>267.5</v>
      </c>
      <c r="L25" s="157">
        <f t="shared" ref="L25:M25" si="7">SUM(L24)</f>
        <v>104.5</v>
      </c>
      <c r="M25" s="157">
        <f t="shared" si="7"/>
        <v>47.5</v>
      </c>
      <c r="N25" s="152">
        <f t="shared" si="2"/>
        <v>3764</v>
      </c>
    </row>
    <row r="26" spans="1:15" x14ac:dyDescent="0.25">
      <c r="A26" s="149" t="s">
        <v>198</v>
      </c>
      <c r="B26" s="150">
        <f t="shared" ref="B26:M26" si="8">B8-B25</f>
        <v>-367.5</v>
      </c>
      <c r="C26" s="150">
        <f t="shared" si="8"/>
        <v>-446.5</v>
      </c>
      <c r="D26" s="150">
        <f t="shared" si="8"/>
        <v>-517.5</v>
      </c>
      <c r="E26" s="150">
        <f t="shared" si="8"/>
        <v>-267.5</v>
      </c>
      <c r="F26" s="150">
        <f t="shared" si="8"/>
        <v>-239.5</v>
      </c>
      <c r="G26" s="150">
        <f t="shared" si="8"/>
        <v>-359.5</v>
      </c>
      <c r="H26" s="150">
        <f t="shared" si="8"/>
        <v>-239.5</v>
      </c>
      <c r="I26" s="150">
        <f t="shared" si="8"/>
        <v>-639.5</v>
      </c>
      <c r="J26" s="150">
        <f t="shared" si="8"/>
        <v>-267.5</v>
      </c>
      <c r="K26" s="150">
        <f t="shared" si="8"/>
        <v>-267.5</v>
      </c>
      <c r="L26" s="150">
        <f t="shared" si="8"/>
        <v>-104.5</v>
      </c>
      <c r="M26" s="150">
        <f t="shared" si="8"/>
        <v>-47.5</v>
      </c>
      <c r="N26" s="152">
        <f t="shared" si="2"/>
        <v>-3764</v>
      </c>
    </row>
    <row r="27" spans="1:15" x14ac:dyDescent="0.25">
      <c r="A27" s="149" t="s">
        <v>31</v>
      </c>
      <c r="B27" s="150">
        <f t="shared" ref="B27:M27" si="9">B26+0+0</f>
        <v>-367.5</v>
      </c>
      <c r="C27" s="150">
        <f t="shared" si="9"/>
        <v>-446.5</v>
      </c>
      <c r="D27" s="150">
        <f t="shared" si="9"/>
        <v>-517.5</v>
      </c>
      <c r="E27" s="150">
        <f t="shared" si="9"/>
        <v>-267.5</v>
      </c>
      <c r="F27" s="150">
        <f t="shared" si="9"/>
        <v>-239.5</v>
      </c>
      <c r="G27" s="150">
        <f t="shared" si="9"/>
        <v>-359.5</v>
      </c>
      <c r="H27" s="150">
        <f t="shared" si="9"/>
        <v>-239.5</v>
      </c>
      <c r="I27" s="150">
        <f t="shared" si="9"/>
        <v>-639.5</v>
      </c>
      <c r="J27" s="150">
        <f t="shared" si="9"/>
        <v>-267.5</v>
      </c>
      <c r="K27" s="150">
        <f t="shared" si="9"/>
        <v>-267.5</v>
      </c>
      <c r="L27" s="150">
        <f t="shared" si="9"/>
        <v>-104.5</v>
      </c>
      <c r="M27" s="150">
        <f t="shared" si="9"/>
        <v>-47.5</v>
      </c>
      <c r="N27" s="152">
        <f t="shared" si="2"/>
        <v>-3764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41301-E5F6-CA42-AF33-F4E8FC9DDDDE}">
  <sheetPr codeName="Sheet23">
    <tabColor rgb="FFFFFF00"/>
  </sheetPr>
  <dimension ref="A1:N28"/>
  <sheetViews>
    <sheetView zoomScaleNormal="100" workbookViewId="0">
      <selection activeCell="R32" sqref="R32"/>
    </sheetView>
  </sheetViews>
  <sheetFormatPr defaultColWidth="6.5" defaultRowHeight="15.75" x14ac:dyDescent="0.25"/>
  <cols>
    <col min="1" max="1" width="46.125" bestFit="1" customWidth="1"/>
    <col min="2" max="2" width="6.75" bestFit="1" customWidth="1"/>
    <col min="3" max="3" width="8.75" bestFit="1" customWidth="1"/>
    <col min="4" max="4" width="7.25" bestFit="1" customWidth="1"/>
    <col min="5" max="5" width="8.25" bestFit="1" customWidth="1"/>
    <col min="6" max="6" width="9" customWidth="1"/>
    <col min="7" max="7" width="6.75" bestFit="1" customWidth="1"/>
    <col min="8" max="8" width="7.25" bestFit="1" customWidth="1"/>
    <col min="9" max="9" width="8.75" bestFit="1" customWidth="1"/>
    <col min="10" max="10" width="7.25" bestFit="1" customWidth="1"/>
    <col min="11" max="11" width="8.75" bestFit="1" customWidth="1"/>
    <col min="12" max="12" width="7.125" bestFit="1" customWidth="1"/>
    <col min="13" max="13" width="6.875" customWidth="1"/>
    <col min="14" max="14" width="8.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366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351</v>
      </c>
      <c r="B11" s="155">
        <v>0</v>
      </c>
      <c r="C11" s="155">
        <v>0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1000</v>
      </c>
      <c r="L11" s="155">
        <v>0</v>
      </c>
      <c r="M11" s="155">
        <v>0</v>
      </c>
      <c r="N11" s="155">
        <f t="shared" ref="N11:N15" si="1">SUM(B11:M11)</f>
        <v>1000</v>
      </c>
    </row>
    <row r="12" spans="1:14" x14ac:dyDescent="0.25">
      <c r="A12" s="154" t="s">
        <v>352</v>
      </c>
      <c r="B12" s="155">
        <v>0</v>
      </c>
      <c r="C12" s="155">
        <v>1400</v>
      </c>
      <c r="D12" s="155">
        <v>0</v>
      </c>
      <c r="E12" s="155">
        <v>0</v>
      </c>
      <c r="F12" s="155">
        <v>0</v>
      </c>
      <c r="G12" s="155">
        <v>0</v>
      </c>
      <c r="H12" s="155">
        <v>0</v>
      </c>
      <c r="I12" s="155">
        <v>1400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ref="N12" si="2">SUM(B12:M12)</f>
        <v>2800</v>
      </c>
    </row>
    <row r="13" spans="1:14" x14ac:dyDescent="0.25">
      <c r="A13" s="154" t="s">
        <v>344</v>
      </c>
      <c r="B13" s="155">
        <v>0</v>
      </c>
      <c r="C13" s="155">
        <v>150</v>
      </c>
      <c r="D13" s="155">
        <v>0</v>
      </c>
      <c r="E13" s="155">
        <v>0</v>
      </c>
      <c r="F13" s="155">
        <v>0</v>
      </c>
      <c r="G13" s="155">
        <v>50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f t="shared" si="1"/>
        <v>200</v>
      </c>
    </row>
    <row r="14" spans="1:14" x14ac:dyDescent="0.25">
      <c r="A14" s="154" t="s">
        <v>345</v>
      </c>
      <c r="B14" s="155">
        <v>0</v>
      </c>
      <c r="C14" s="155">
        <v>0</v>
      </c>
      <c r="D14" s="155">
        <v>550</v>
      </c>
      <c r="E14" s="155">
        <v>735</v>
      </c>
      <c r="F14" s="155">
        <v>550</v>
      </c>
      <c r="G14" s="155">
        <v>0</v>
      </c>
      <c r="H14" s="155">
        <v>550</v>
      </c>
      <c r="I14" s="155">
        <v>735</v>
      </c>
      <c r="J14" s="155">
        <v>550</v>
      </c>
      <c r="K14" s="155">
        <v>0</v>
      </c>
      <c r="L14" s="155">
        <v>0</v>
      </c>
      <c r="M14" s="155">
        <v>0</v>
      </c>
      <c r="N14" s="155">
        <f t="shared" si="1"/>
        <v>3670</v>
      </c>
    </row>
    <row r="15" spans="1:14" x14ac:dyDescent="0.25">
      <c r="A15" s="154" t="s">
        <v>336</v>
      </c>
      <c r="B15" s="155">
        <v>0</v>
      </c>
      <c r="C15" s="155">
        <v>200</v>
      </c>
      <c r="D15" s="155">
        <v>0</v>
      </c>
      <c r="E15" s="155">
        <v>0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si="1"/>
        <v>200</v>
      </c>
    </row>
    <row r="16" spans="1:14" x14ac:dyDescent="0.25">
      <c r="A16" s="154" t="s">
        <v>339</v>
      </c>
      <c r="B16" s="155">
        <v>0</v>
      </c>
      <c r="C16" s="155">
        <v>0</v>
      </c>
      <c r="D16" s="155">
        <v>0</v>
      </c>
      <c r="E16" s="155">
        <v>0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ref="N16:N19" si="3">SUM(B16:M16)</f>
        <v>0</v>
      </c>
    </row>
    <row r="17" spans="1:14" x14ac:dyDescent="0.25">
      <c r="A17" s="154" t="s">
        <v>267</v>
      </c>
      <c r="B17" s="155">
        <v>0</v>
      </c>
      <c r="C17" s="155">
        <v>200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3"/>
        <v>200</v>
      </c>
    </row>
    <row r="18" spans="1:14" x14ac:dyDescent="0.25">
      <c r="A18" s="154" t="s">
        <v>355</v>
      </c>
      <c r="B18" s="155">
        <v>0</v>
      </c>
      <c r="C18" s="155">
        <v>0</v>
      </c>
      <c r="D18" s="155">
        <v>0</v>
      </c>
      <c r="E18" s="155">
        <v>0</v>
      </c>
      <c r="F18" s="155">
        <v>0</v>
      </c>
      <c r="G18" s="155">
        <v>0</v>
      </c>
      <c r="H18" s="155">
        <v>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f t="shared" si="3"/>
        <v>0</v>
      </c>
    </row>
    <row r="19" spans="1:14" x14ac:dyDescent="0.25">
      <c r="A19" s="154" t="s">
        <v>270</v>
      </c>
      <c r="B19" s="155">
        <v>21</v>
      </c>
      <c r="C19" s="155">
        <v>21</v>
      </c>
      <c r="D19" s="155">
        <v>21</v>
      </c>
      <c r="E19" s="155">
        <v>21</v>
      </c>
      <c r="F19" s="155">
        <v>21</v>
      </c>
      <c r="G19" s="155">
        <v>21</v>
      </c>
      <c r="H19" s="155">
        <v>21</v>
      </c>
      <c r="I19" s="155">
        <v>21</v>
      </c>
      <c r="J19" s="155">
        <v>21</v>
      </c>
      <c r="K19" s="155">
        <v>21</v>
      </c>
      <c r="L19" s="155">
        <v>21</v>
      </c>
      <c r="M19" s="155">
        <v>21</v>
      </c>
      <c r="N19" s="155">
        <f t="shared" si="3"/>
        <v>252</v>
      </c>
    </row>
    <row r="20" spans="1:14" x14ac:dyDescent="0.25">
      <c r="A20" s="156" t="s">
        <v>196</v>
      </c>
      <c r="B20" s="157">
        <f>SUM(B11:B19)</f>
        <v>21</v>
      </c>
      <c r="C20" s="157">
        <f t="shared" ref="C20:N20" si="4">SUM(C11:C19)</f>
        <v>1971</v>
      </c>
      <c r="D20" s="157">
        <f t="shared" si="4"/>
        <v>571</v>
      </c>
      <c r="E20" s="157">
        <f t="shared" si="4"/>
        <v>756</v>
      </c>
      <c r="F20" s="157">
        <f t="shared" si="4"/>
        <v>571</v>
      </c>
      <c r="G20" s="157">
        <f t="shared" si="4"/>
        <v>71</v>
      </c>
      <c r="H20" s="157">
        <f t="shared" si="4"/>
        <v>571</v>
      </c>
      <c r="I20" s="157">
        <f t="shared" si="4"/>
        <v>2156</v>
      </c>
      <c r="J20" s="157">
        <f t="shared" si="4"/>
        <v>571</v>
      </c>
      <c r="K20" s="157">
        <f t="shared" si="4"/>
        <v>1021</v>
      </c>
      <c r="L20" s="157">
        <f t="shared" si="4"/>
        <v>21</v>
      </c>
      <c r="M20" s="157">
        <f t="shared" si="4"/>
        <v>21</v>
      </c>
      <c r="N20" s="157">
        <f t="shared" si="4"/>
        <v>8322</v>
      </c>
    </row>
    <row r="21" spans="1:14" x14ac:dyDescent="0.25">
      <c r="A21" s="158" t="s">
        <v>197</v>
      </c>
      <c r="B21" s="157">
        <f t="shared" ref="B21" si="5">SUM(B20)</f>
        <v>21</v>
      </c>
      <c r="C21" s="157">
        <f t="shared" ref="C21:N21" si="6">SUM(C20)</f>
        <v>1971</v>
      </c>
      <c r="D21" s="157">
        <f t="shared" si="6"/>
        <v>571</v>
      </c>
      <c r="E21" s="157">
        <f t="shared" si="6"/>
        <v>756</v>
      </c>
      <c r="F21" s="157">
        <f t="shared" si="6"/>
        <v>571</v>
      </c>
      <c r="G21" s="157">
        <f t="shared" si="6"/>
        <v>71</v>
      </c>
      <c r="H21" s="157">
        <f t="shared" si="6"/>
        <v>571</v>
      </c>
      <c r="I21" s="157">
        <f t="shared" si="6"/>
        <v>2156</v>
      </c>
      <c r="J21" s="157">
        <f t="shared" si="6"/>
        <v>571</v>
      </c>
      <c r="K21" s="157">
        <f t="shared" si="6"/>
        <v>1021</v>
      </c>
      <c r="L21" s="157">
        <f t="shared" si="6"/>
        <v>21</v>
      </c>
      <c r="M21" s="157">
        <f t="shared" si="6"/>
        <v>21</v>
      </c>
      <c r="N21" s="157">
        <f t="shared" si="6"/>
        <v>8322</v>
      </c>
    </row>
    <row r="22" spans="1:14" x14ac:dyDescent="0.25">
      <c r="A22" s="149" t="s">
        <v>198</v>
      </c>
      <c r="B22" s="150">
        <f>B8-B21</f>
        <v>-21</v>
      </c>
      <c r="C22" s="150">
        <f t="shared" ref="C22:N22" si="7">C8-C21</f>
        <v>-1971</v>
      </c>
      <c r="D22" s="150">
        <f t="shared" si="7"/>
        <v>-571</v>
      </c>
      <c r="E22" s="150">
        <f t="shared" si="7"/>
        <v>-756</v>
      </c>
      <c r="F22" s="150">
        <f t="shared" si="7"/>
        <v>-571</v>
      </c>
      <c r="G22" s="150">
        <f t="shared" si="7"/>
        <v>-71</v>
      </c>
      <c r="H22" s="150">
        <f t="shared" si="7"/>
        <v>-571</v>
      </c>
      <c r="I22" s="150">
        <f t="shared" si="7"/>
        <v>-2156</v>
      </c>
      <c r="J22" s="150">
        <f t="shared" si="7"/>
        <v>-571</v>
      </c>
      <c r="K22" s="150">
        <f t="shared" si="7"/>
        <v>-1021</v>
      </c>
      <c r="L22" s="150">
        <f t="shared" si="7"/>
        <v>-21</v>
      </c>
      <c r="M22" s="150">
        <f t="shared" si="7"/>
        <v>-21</v>
      </c>
      <c r="N22" s="150">
        <f t="shared" si="7"/>
        <v>-8322</v>
      </c>
    </row>
    <row r="23" spans="1:14" x14ac:dyDescent="0.25">
      <c r="A23" s="151" t="s">
        <v>199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</row>
    <row r="24" spans="1:14" x14ac:dyDescent="0.25">
      <c r="A24" s="153" t="s">
        <v>202</v>
      </c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</row>
    <row r="25" spans="1:14" x14ac:dyDescent="0.25">
      <c r="A25" s="154" t="s">
        <v>230</v>
      </c>
      <c r="B25" s="155">
        <v>0</v>
      </c>
      <c r="C25" s="155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5">
        <v>0</v>
      </c>
      <c r="M25" s="155">
        <v>0</v>
      </c>
      <c r="N25" s="155">
        <f t="shared" ref="N25" si="8">SUM(B25:M25)</f>
        <v>0</v>
      </c>
    </row>
    <row r="26" spans="1:14" x14ac:dyDescent="0.25">
      <c r="A26" s="156" t="s">
        <v>203</v>
      </c>
      <c r="B26" s="157">
        <f t="shared" ref="B26:N27" si="9">SUM(B25)</f>
        <v>0</v>
      </c>
      <c r="C26" s="157">
        <f t="shared" si="9"/>
        <v>0</v>
      </c>
      <c r="D26" s="157">
        <f t="shared" si="9"/>
        <v>0</v>
      </c>
      <c r="E26" s="157">
        <f t="shared" si="9"/>
        <v>0</v>
      </c>
      <c r="F26" s="157">
        <f t="shared" si="9"/>
        <v>0</v>
      </c>
      <c r="G26" s="157">
        <f t="shared" si="9"/>
        <v>0</v>
      </c>
      <c r="H26" s="157">
        <f t="shared" si="9"/>
        <v>0</v>
      </c>
      <c r="I26" s="157">
        <f t="shared" si="9"/>
        <v>0</v>
      </c>
      <c r="J26" s="157">
        <f t="shared" si="9"/>
        <v>0</v>
      </c>
      <c r="K26" s="157">
        <f t="shared" si="9"/>
        <v>0</v>
      </c>
      <c r="L26" s="157">
        <f t="shared" si="9"/>
        <v>0</v>
      </c>
      <c r="M26" s="157">
        <f t="shared" si="9"/>
        <v>0</v>
      </c>
      <c r="N26" s="157">
        <f t="shared" si="9"/>
        <v>0</v>
      </c>
    </row>
    <row r="27" spans="1:14" x14ac:dyDescent="0.25">
      <c r="A27" s="158" t="s">
        <v>206</v>
      </c>
      <c r="B27" s="157">
        <f t="shared" si="9"/>
        <v>0</v>
      </c>
      <c r="C27" s="157">
        <f t="shared" si="9"/>
        <v>0</v>
      </c>
      <c r="D27" s="157">
        <f t="shared" si="9"/>
        <v>0</v>
      </c>
      <c r="E27" s="157">
        <f t="shared" si="9"/>
        <v>0</v>
      </c>
      <c r="F27" s="157">
        <f t="shared" si="9"/>
        <v>0</v>
      </c>
      <c r="G27" s="157">
        <f t="shared" si="9"/>
        <v>0</v>
      </c>
      <c r="H27" s="157">
        <f t="shared" si="9"/>
        <v>0</v>
      </c>
      <c r="I27" s="157">
        <f t="shared" si="9"/>
        <v>0</v>
      </c>
      <c r="J27" s="157">
        <f t="shared" si="9"/>
        <v>0</v>
      </c>
      <c r="K27" s="157">
        <f t="shared" si="9"/>
        <v>0</v>
      </c>
      <c r="L27" s="157">
        <f t="shared" si="9"/>
        <v>0</v>
      </c>
      <c r="M27" s="157">
        <f t="shared" si="9"/>
        <v>0</v>
      </c>
      <c r="N27" s="157">
        <f t="shared" si="9"/>
        <v>0</v>
      </c>
    </row>
    <row r="28" spans="1:14" x14ac:dyDescent="0.25">
      <c r="A28" s="149" t="s">
        <v>31</v>
      </c>
      <c r="B28" s="150">
        <f t="shared" ref="B28:N28" si="10">B22+B27+0</f>
        <v>-21</v>
      </c>
      <c r="C28" s="150">
        <f t="shared" si="10"/>
        <v>-1971</v>
      </c>
      <c r="D28" s="150">
        <f t="shared" si="10"/>
        <v>-571</v>
      </c>
      <c r="E28" s="150">
        <f t="shared" si="10"/>
        <v>-756</v>
      </c>
      <c r="F28" s="150">
        <f t="shared" si="10"/>
        <v>-571</v>
      </c>
      <c r="G28" s="150">
        <f t="shared" si="10"/>
        <v>-71</v>
      </c>
      <c r="H28" s="150">
        <f t="shared" si="10"/>
        <v>-571</v>
      </c>
      <c r="I28" s="150">
        <f t="shared" si="10"/>
        <v>-2156</v>
      </c>
      <c r="J28" s="150">
        <f t="shared" si="10"/>
        <v>-571</v>
      </c>
      <c r="K28" s="150">
        <f t="shared" si="10"/>
        <v>-1021</v>
      </c>
      <c r="L28" s="150">
        <f t="shared" si="10"/>
        <v>-21</v>
      </c>
      <c r="M28" s="150">
        <f t="shared" si="10"/>
        <v>-21</v>
      </c>
      <c r="N28" s="150">
        <f t="shared" si="10"/>
        <v>-8322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828F-D472-6C4A-83FE-35DCA963B704}">
  <sheetPr codeName="Sheet24">
    <tabColor rgb="FFFFFF00"/>
  </sheetPr>
  <dimension ref="A1:N33"/>
  <sheetViews>
    <sheetView zoomScaleNormal="100" workbookViewId="0">
      <selection activeCell="J32" sqref="J32"/>
    </sheetView>
  </sheetViews>
  <sheetFormatPr defaultColWidth="6.5" defaultRowHeight="15.75" x14ac:dyDescent="0.25"/>
  <cols>
    <col min="1" max="1" width="46.125" bestFit="1" customWidth="1"/>
    <col min="2" max="13" width="8.5" customWidth="1"/>
    <col min="14" max="14" width="9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367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107</v>
      </c>
      <c r="B11" s="155">
        <v>0</v>
      </c>
      <c r="C11" s="155">
        <v>0</v>
      </c>
      <c r="D11" s="155">
        <v>10000</v>
      </c>
      <c r="E11" s="155">
        <v>10000</v>
      </c>
      <c r="F11" s="155">
        <v>0</v>
      </c>
      <c r="G11" s="155">
        <v>0</v>
      </c>
      <c r="H11" s="155">
        <v>45000</v>
      </c>
      <c r="I11" s="155">
        <v>0</v>
      </c>
      <c r="J11" s="155">
        <v>10000</v>
      </c>
      <c r="K11" s="155">
        <v>65000</v>
      </c>
      <c r="L11" s="155">
        <v>0</v>
      </c>
      <c r="M11" s="155">
        <v>0</v>
      </c>
      <c r="N11" s="155">
        <f t="shared" ref="N11" si="1">SUM(B11:M11)</f>
        <v>140000</v>
      </c>
    </row>
    <row r="12" spans="1:14" x14ac:dyDescent="0.25">
      <c r="A12" s="154" t="s">
        <v>351</v>
      </c>
      <c r="B12" s="155">
        <v>0</v>
      </c>
      <c r="C12" s="155">
        <v>0</v>
      </c>
      <c r="D12" s="155">
        <v>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3000</v>
      </c>
      <c r="L12" s="155">
        <v>0</v>
      </c>
      <c r="M12" s="155">
        <v>0</v>
      </c>
      <c r="N12" s="155">
        <f t="shared" ref="N12:N20" si="2">SUM(B12:M12)</f>
        <v>3000</v>
      </c>
    </row>
    <row r="13" spans="1:14" x14ac:dyDescent="0.25">
      <c r="A13" s="154" t="s">
        <v>353</v>
      </c>
      <c r="B13" s="155">
        <v>0</v>
      </c>
      <c r="C13" s="155">
        <v>300</v>
      </c>
      <c r="D13" s="155">
        <v>300</v>
      </c>
      <c r="E13" s="155">
        <v>300</v>
      </c>
      <c r="F13" s="155">
        <v>300</v>
      </c>
      <c r="G13" s="155">
        <v>300</v>
      </c>
      <c r="H13" s="155">
        <v>300</v>
      </c>
      <c r="I13" s="155">
        <v>300</v>
      </c>
      <c r="J13" s="155">
        <v>300</v>
      </c>
      <c r="K13" s="155">
        <v>300</v>
      </c>
      <c r="L13" s="155">
        <v>300</v>
      </c>
      <c r="M13" s="155">
        <v>0</v>
      </c>
      <c r="N13" s="155">
        <f>SUM(B13:M13)</f>
        <v>3000</v>
      </c>
    </row>
    <row r="14" spans="1:14" x14ac:dyDescent="0.25">
      <c r="A14" s="154" t="s">
        <v>26</v>
      </c>
      <c r="B14" s="155">
        <v>180</v>
      </c>
      <c r="C14" s="155">
        <v>180</v>
      </c>
      <c r="D14" s="155">
        <v>180</v>
      </c>
      <c r="E14" s="155">
        <v>180</v>
      </c>
      <c r="F14" s="155">
        <v>180</v>
      </c>
      <c r="G14" s="155">
        <v>180</v>
      </c>
      <c r="H14" s="155">
        <v>180</v>
      </c>
      <c r="I14" s="155">
        <v>180</v>
      </c>
      <c r="J14" s="155">
        <v>180</v>
      </c>
      <c r="K14" s="155">
        <v>180</v>
      </c>
      <c r="L14" s="155">
        <v>180</v>
      </c>
      <c r="M14" s="155">
        <v>180</v>
      </c>
      <c r="N14" s="155">
        <f t="shared" si="2"/>
        <v>2160</v>
      </c>
    </row>
    <row r="15" spans="1:14" x14ac:dyDescent="0.25">
      <c r="A15" s="154" t="s">
        <v>339</v>
      </c>
      <c r="B15" s="155">
        <v>0</v>
      </c>
      <c r="C15" s="155">
        <v>264.5</v>
      </c>
      <c r="D15" s="155">
        <v>134.5</v>
      </c>
      <c r="E15" s="155">
        <v>134.5</v>
      </c>
      <c r="F15" s="155">
        <v>134.5</v>
      </c>
      <c r="G15" s="155">
        <v>134.5</v>
      </c>
      <c r="H15" s="155">
        <v>134.5</v>
      </c>
      <c r="I15" s="155">
        <v>134.5</v>
      </c>
      <c r="J15" s="155">
        <v>134.5</v>
      </c>
      <c r="K15" s="155">
        <v>134.5</v>
      </c>
      <c r="L15" s="155">
        <v>0</v>
      </c>
      <c r="M15" s="155">
        <v>0</v>
      </c>
      <c r="N15" s="155">
        <f t="shared" si="2"/>
        <v>1340.5</v>
      </c>
    </row>
    <row r="16" spans="1:14" x14ac:dyDescent="0.25">
      <c r="A16" s="154" t="s">
        <v>267</v>
      </c>
      <c r="B16" s="155">
        <v>0</v>
      </c>
      <c r="C16" s="155">
        <v>0</v>
      </c>
      <c r="D16" s="155">
        <v>0</v>
      </c>
      <c r="E16" s="155">
        <v>0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si="2"/>
        <v>0</v>
      </c>
    </row>
    <row r="17" spans="1:14" x14ac:dyDescent="0.25">
      <c r="A17" s="154" t="s">
        <v>270</v>
      </c>
      <c r="B17" s="155">
        <v>111</v>
      </c>
      <c r="C17" s="155">
        <v>111</v>
      </c>
      <c r="D17" s="155">
        <v>111</v>
      </c>
      <c r="E17" s="155">
        <v>111</v>
      </c>
      <c r="F17" s="155">
        <v>111</v>
      </c>
      <c r="G17" s="155">
        <v>111</v>
      </c>
      <c r="H17" s="155">
        <v>111</v>
      </c>
      <c r="I17" s="155">
        <v>111</v>
      </c>
      <c r="J17" s="155">
        <v>1800</v>
      </c>
      <c r="K17" s="155">
        <v>111</v>
      </c>
      <c r="L17" s="155">
        <v>111</v>
      </c>
      <c r="M17" s="155">
        <v>111</v>
      </c>
      <c r="N17" s="155">
        <f t="shared" si="2"/>
        <v>3021</v>
      </c>
    </row>
    <row r="18" spans="1:14" x14ac:dyDescent="0.25">
      <c r="A18" s="154" t="s">
        <v>238</v>
      </c>
      <c r="B18" s="155">
        <v>150</v>
      </c>
      <c r="C18" s="155">
        <v>150</v>
      </c>
      <c r="D18" s="155">
        <v>150</v>
      </c>
      <c r="E18" s="155">
        <v>150</v>
      </c>
      <c r="F18" s="155">
        <v>0</v>
      </c>
      <c r="G18" s="155">
        <v>0</v>
      </c>
      <c r="H18" s="155">
        <v>0</v>
      </c>
      <c r="I18" s="155">
        <v>0</v>
      </c>
      <c r="J18" s="155">
        <v>150</v>
      </c>
      <c r="K18" s="155">
        <v>150</v>
      </c>
      <c r="L18" s="155">
        <v>150</v>
      </c>
      <c r="M18" s="155">
        <v>150</v>
      </c>
      <c r="N18" s="155">
        <f t="shared" si="2"/>
        <v>1200</v>
      </c>
    </row>
    <row r="19" spans="1:14" x14ac:dyDescent="0.25">
      <c r="A19" s="154" t="s">
        <v>331</v>
      </c>
      <c r="B19" s="155">
        <v>0</v>
      </c>
      <c r="C19" s="155">
        <v>0</v>
      </c>
      <c r="D19" s="155">
        <v>0</v>
      </c>
      <c r="E19" s="155">
        <v>0</v>
      </c>
      <c r="F19" s="155">
        <v>0</v>
      </c>
      <c r="G19" s="155">
        <v>15000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2"/>
        <v>15000</v>
      </c>
    </row>
    <row r="20" spans="1:14" x14ac:dyDescent="0.25">
      <c r="A20" s="154" t="s">
        <v>221</v>
      </c>
      <c r="B20" s="155">
        <v>16</v>
      </c>
      <c r="C20" s="155">
        <v>16</v>
      </c>
      <c r="D20" s="155">
        <v>16</v>
      </c>
      <c r="E20" s="155">
        <v>16</v>
      </c>
      <c r="F20" s="155">
        <v>16</v>
      </c>
      <c r="G20" s="155">
        <v>16</v>
      </c>
      <c r="H20" s="155">
        <v>16</v>
      </c>
      <c r="I20" s="155">
        <v>16</v>
      </c>
      <c r="J20" s="155">
        <v>16</v>
      </c>
      <c r="K20" s="155">
        <v>16</v>
      </c>
      <c r="L20" s="155">
        <v>16</v>
      </c>
      <c r="M20" s="155">
        <v>16</v>
      </c>
      <c r="N20" s="155">
        <f t="shared" si="2"/>
        <v>192</v>
      </c>
    </row>
    <row r="21" spans="1:14" x14ac:dyDescent="0.25">
      <c r="A21" s="156" t="s">
        <v>196</v>
      </c>
      <c r="B21" s="157">
        <f t="shared" ref="B21:N21" si="3">SUM(B11:B20)</f>
        <v>457</v>
      </c>
      <c r="C21" s="157">
        <f t="shared" si="3"/>
        <v>1021.5</v>
      </c>
      <c r="D21" s="157">
        <f t="shared" si="3"/>
        <v>10891.5</v>
      </c>
      <c r="E21" s="157">
        <f t="shared" si="3"/>
        <v>10891.5</v>
      </c>
      <c r="F21" s="157">
        <f t="shared" si="3"/>
        <v>741.5</v>
      </c>
      <c r="G21" s="157">
        <f t="shared" si="3"/>
        <v>15741.5</v>
      </c>
      <c r="H21" s="157">
        <f t="shared" si="3"/>
        <v>45741.5</v>
      </c>
      <c r="I21" s="157">
        <f t="shared" si="3"/>
        <v>741.5</v>
      </c>
      <c r="J21" s="157">
        <f t="shared" si="3"/>
        <v>12580.5</v>
      </c>
      <c r="K21" s="157">
        <f t="shared" si="3"/>
        <v>68891.5</v>
      </c>
      <c r="L21" s="157">
        <f t="shared" si="3"/>
        <v>757</v>
      </c>
      <c r="M21" s="157">
        <f t="shared" si="3"/>
        <v>457</v>
      </c>
      <c r="N21" s="157">
        <f t="shared" si="3"/>
        <v>168913.5</v>
      </c>
    </row>
    <row r="22" spans="1:14" x14ac:dyDescent="0.25">
      <c r="A22" s="158" t="s">
        <v>197</v>
      </c>
      <c r="B22" s="157">
        <f t="shared" ref="B22:N22" si="4">SUM(B21)</f>
        <v>457</v>
      </c>
      <c r="C22" s="157">
        <f t="shared" si="4"/>
        <v>1021.5</v>
      </c>
      <c r="D22" s="157">
        <f t="shared" si="4"/>
        <v>10891.5</v>
      </c>
      <c r="E22" s="157">
        <f t="shared" si="4"/>
        <v>10891.5</v>
      </c>
      <c r="F22" s="157">
        <f t="shared" si="4"/>
        <v>741.5</v>
      </c>
      <c r="G22" s="157">
        <f t="shared" si="4"/>
        <v>15741.5</v>
      </c>
      <c r="H22" s="157">
        <f t="shared" si="4"/>
        <v>45741.5</v>
      </c>
      <c r="I22" s="157">
        <f t="shared" si="4"/>
        <v>741.5</v>
      </c>
      <c r="J22" s="157">
        <f t="shared" si="4"/>
        <v>12580.5</v>
      </c>
      <c r="K22" s="157">
        <f t="shared" si="4"/>
        <v>68891.5</v>
      </c>
      <c r="L22" s="157">
        <f t="shared" si="4"/>
        <v>757</v>
      </c>
      <c r="M22" s="157">
        <f t="shared" si="4"/>
        <v>457</v>
      </c>
      <c r="N22" s="157">
        <f t="shared" si="4"/>
        <v>168913.5</v>
      </c>
    </row>
    <row r="23" spans="1:14" x14ac:dyDescent="0.25">
      <c r="A23" s="149" t="s">
        <v>198</v>
      </c>
      <c r="B23" s="150">
        <f t="shared" ref="B23:N23" si="5">B8-B22</f>
        <v>-457</v>
      </c>
      <c r="C23" s="150">
        <f t="shared" si="5"/>
        <v>-1021.5</v>
      </c>
      <c r="D23" s="150">
        <f t="shared" si="5"/>
        <v>-10891.5</v>
      </c>
      <c r="E23" s="150">
        <f t="shared" si="5"/>
        <v>-10891.5</v>
      </c>
      <c r="F23" s="150">
        <f t="shared" si="5"/>
        <v>-741.5</v>
      </c>
      <c r="G23" s="150">
        <f t="shared" si="5"/>
        <v>-15741.5</v>
      </c>
      <c r="H23" s="150">
        <f t="shared" si="5"/>
        <v>-45741.5</v>
      </c>
      <c r="I23" s="150">
        <f t="shared" si="5"/>
        <v>-741.5</v>
      </c>
      <c r="J23" s="150">
        <f t="shared" si="5"/>
        <v>-12580.5</v>
      </c>
      <c r="K23" s="150">
        <f t="shared" si="5"/>
        <v>-68891.5</v>
      </c>
      <c r="L23" s="150">
        <f t="shared" si="5"/>
        <v>-757</v>
      </c>
      <c r="M23" s="150">
        <f t="shared" si="5"/>
        <v>-457</v>
      </c>
      <c r="N23" s="150">
        <f t="shared" si="5"/>
        <v>-168913.5</v>
      </c>
    </row>
    <row r="24" spans="1:14" x14ac:dyDescent="0.25">
      <c r="A24" s="151" t="s">
        <v>199</v>
      </c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</row>
    <row r="25" spans="1:14" x14ac:dyDescent="0.25">
      <c r="A25" s="153" t="s">
        <v>202</v>
      </c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</row>
    <row r="26" spans="1:14" x14ac:dyDescent="0.25">
      <c r="A26" s="154" t="s">
        <v>230</v>
      </c>
      <c r="B26" s="155">
        <v>150</v>
      </c>
      <c r="C26" s="155">
        <v>150</v>
      </c>
      <c r="D26" s="155">
        <v>150</v>
      </c>
      <c r="E26" s="155">
        <v>150</v>
      </c>
      <c r="F26" s="155">
        <v>150</v>
      </c>
      <c r="G26" s="155">
        <v>150</v>
      </c>
      <c r="H26" s="155">
        <v>150</v>
      </c>
      <c r="I26" s="155">
        <v>150</v>
      </c>
      <c r="J26" s="155">
        <v>150</v>
      </c>
      <c r="K26" s="155">
        <v>150</v>
      </c>
      <c r="L26" s="155">
        <v>150</v>
      </c>
      <c r="M26" s="155">
        <v>150</v>
      </c>
      <c r="N26" s="155">
        <f>SUM(B26:M26)</f>
        <v>1800</v>
      </c>
    </row>
    <row r="27" spans="1:14" x14ac:dyDescent="0.25">
      <c r="A27" s="156" t="s">
        <v>203</v>
      </c>
      <c r="B27" s="157">
        <f t="shared" ref="B27:N27" si="6">SUM(B26)</f>
        <v>150</v>
      </c>
      <c r="C27" s="157">
        <f t="shared" si="6"/>
        <v>150</v>
      </c>
      <c r="D27" s="157">
        <f t="shared" si="6"/>
        <v>150</v>
      </c>
      <c r="E27" s="157">
        <f t="shared" si="6"/>
        <v>150</v>
      </c>
      <c r="F27" s="157">
        <f t="shared" si="6"/>
        <v>150</v>
      </c>
      <c r="G27" s="157">
        <f t="shared" si="6"/>
        <v>150</v>
      </c>
      <c r="H27" s="157">
        <f t="shared" si="6"/>
        <v>150</v>
      </c>
      <c r="I27" s="157">
        <f t="shared" si="6"/>
        <v>150</v>
      </c>
      <c r="J27" s="157">
        <f t="shared" si="6"/>
        <v>150</v>
      </c>
      <c r="K27" s="157">
        <f t="shared" si="6"/>
        <v>150</v>
      </c>
      <c r="L27" s="157">
        <f t="shared" si="6"/>
        <v>150</v>
      </c>
      <c r="M27" s="157">
        <f t="shared" si="6"/>
        <v>150</v>
      </c>
      <c r="N27" s="157">
        <f t="shared" si="6"/>
        <v>1800</v>
      </c>
    </row>
    <row r="28" spans="1:14" x14ac:dyDescent="0.25">
      <c r="A28" s="158" t="s">
        <v>206</v>
      </c>
      <c r="B28" s="157">
        <f>SUM(,B27)</f>
        <v>150</v>
      </c>
      <c r="C28" s="157">
        <f t="shared" ref="C28:N28" si="7">SUM(,C27)</f>
        <v>150</v>
      </c>
      <c r="D28" s="157">
        <f t="shared" si="7"/>
        <v>150</v>
      </c>
      <c r="E28" s="157">
        <f t="shared" si="7"/>
        <v>150</v>
      </c>
      <c r="F28" s="157">
        <f t="shared" si="7"/>
        <v>150</v>
      </c>
      <c r="G28" s="157">
        <f t="shared" si="7"/>
        <v>150</v>
      </c>
      <c r="H28" s="157">
        <f t="shared" si="7"/>
        <v>150</v>
      </c>
      <c r="I28" s="157">
        <f t="shared" si="7"/>
        <v>150</v>
      </c>
      <c r="J28" s="157">
        <f t="shared" si="7"/>
        <v>150</v>
      </c>
      <c r="K28" s="157">
        <f t="shared" si="7"/>
        <v>150</v>
      </c>
      <c r="L28" s="157">
        <f t="shared" si="7"/>
        <v>150</v>
      </c>
      <c r="M28" s="157">
        <f t="shared" si="7"/>
        <v>150</v>
      </c>
      <c r="N28" s="157">
        <f t="shared" si="7"/>
        <v>1800</v>
      </c>
    </row>
    <row r="29" spans="1:14" x14ac:dyDescent="0.25">
      <c r="A29" s="149" t="s">
        <v>31</v>
      </c>
      <c r="B29" s="150">
        <f t="shared" ref="B29:N29" si="8">B23+B28+0</f>
        <v>-307</v>
      </c>
      <c r="C29" s="150">
        <f t="shared" si="8"/>
        <v>-871.5</v>
      </c>
      <c r="D29" s="150">
        <f t="shared" si="8"/>
        <v>-10741.5</v>
      </c>
      <c r="E29" s="150">
        <f t="shared" si="8"/>
        <v>-10741.5</v>
      </c>
      <c r="F29" s="150">
        <f t="shared" si="8"/>
        <v>-591.5</v>
      </c>
      <c r="G29" s="150">
        <f t="shared" si="8"/>
        <v>-15591.5</v>
      </c>
      <c r="H29" s="150">
        <f t="shared" si="8"/>
        <v>-45591.5</v>
      </c>
      <c r="I29" s="150">
        <f t="shared" si="8"/>
        <v>-591.5</v>
      </c>
      <c r="J29" s="150">
        <f t="shared" si="8"/>
        <v>-12430.5</v>
      </c>
      <c r="K29" s="150">
        <f t="shared" si="8"/>
        <v>-68741.5</v>
      </c>
      <c r="L29" s="150">
        <f t="shared" si="8"/>
        <v>-607</v>
      </c>
      <c r="M29" s="150">
        <f t="shared" si="8"/>
        <v>-307</v>
      </c>
      <c r="N29" s="150">
        <f t="shared" si="8"/>
        <v>-167113.5</v>
      </c>
    </row>
    <row r="33" spans="9:9" x14ac:dyDescent="0.25">
      <c r="I33" s="174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6F071-E378-D341-A2FD-4DF428B89B10}">
  <sheetPr codeName="Sheet25">
    <tabColor rgb="FFFFFF00"/>
  </sheetPr>
  <dimension ref="A1:O25"/>
  <sheetViews>
    <sheetView workbookViewId="0">
      <selection activeCell="M29" sqref="M29"/>
    </sheetView>
  </sheetViews>
  <sheetFormatPr defaultColWidth="45.875" defaultRowHeight="15.75" x14ac:dyDescent="0.25"/>
  <cols>
    <col min="1" max="1" width="46.125" bestFit="1" customWidth="1"/>
    <col min="2" max="14" width="9.875" customWidth="1"/>
    <col min="15" max="15" width="17" bestFit="1" customWidth="1"/>
  </cols>
  <sheetData>
    <row r="1" spans="1:15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5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5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5" ht="18" x14ac:dyDescent="0.25">
      <c r="A4" s="365" t="s">
        <v>111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5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5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5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5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5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5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5" x14ac:dyDescent="0.25">
      <c r="A11" s="154" t="s">
        <v>357</v>
      </c>
      <c r="B11" s="155">
        <v>0</v>
      </c>
      <c r="C11" s="155">
        <v>338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338</v>
      </c>
      <c r="J11" s="155">
        <v>0</v>
      </c>
      <c r="K11" s="155">
        <v>0</v>
      </c>
      <c r="L11" s="155">
        <v>0</v>
      </c>
      <c r="M11" s="155">
        <v>0</v>
      </c>
      <c r="N11" s="155">
        <f>SUM(B11:M11)</f>
        <v>676</v>
      </c>
      <c r="O11" s="174"/>
    </row>
    <row r="12" spans="1:15" x14ac:dyDescent="0.25">
      <c r="A12" s="154" t="s">
        <v>351</v>
      </c>
      <c r="B12" s="155">
        <v>0</v>
      </c>
      <c r="C12" s="155">
        <v>0</v>
      </c>
      <c r="D12" s="155">
        <v>1500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ref="N12:N21" si="1">SUM(B12:M12)</f>
        <v>1500</v>
      </c>
    </row>
    <row r="13" spans="1:15" x14ac:dyDescent="0.25">
      <c r="A13" s="154" t="s">
        <v>352</v>
      </c>
      <c r="B13" s="155">
        <v>0</v>
      </c>
      <c r="C13" s="155">
        <v>0</v>
      </c>
      <c r="D13" s="155">
        <v>0</v>
      </c>
      <c r="E13" s="155">
        <v>31000</v>
      </c>
      <c r="F13" s="155">
        <v>0</v>
      </c>
      <c r="G13" s="155">
        <v>0</v>
      </c>
      <c r="H13" s="155">
        <v>0</v>
      </c>
      <c r="I13" s="155">
        <v>0</v>
      </c>
      <c r="J13" s="155">
        <v>31000</v>
      </c>
      <c r="K13" s="155">
        <v>0</v>
      </c>
      <c r="L13" s="155">
        <v>0</v>
      </c>
      <c r="M13" s="155">
        <v>0</v>
      </c>
      <c r="N13" s="155">
        <f t="shared" si="1"/>
        <v>62000</v>
      </c>
    </row>
    <row r="14" spans="1:15" x14ac:dyDescent="0.25">
      <c r="A14" s="154" t="s">
        <v>344</v>
      </c>
      <c r="B14" s="155">
        <v>100</v>
      </c>
      <c r="C14" s="155">
        <v>100</v>
      </c>
      <c r="D14" s="155">
        <v>0</v>
      </c>
      <c r="E14" s="155">
        <v>0</v>
      </c>
      <c r="F14" s="155">
        <v>0</v>
      </c>
      <c r="G14" s="155">
        <v>90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290</v>
      </c>
      <c r="O14" s="174"/>
    </row>
    <row r="15" spans="1:15" x14ac:dyDescent="0.25">
      <c r="A15" s="154" t="s">
        <v>329</v>
      </c>
      <c r="B15" s="155">
        <v>0</v>
      </c>
      <c r="C15" s="155">
        <v>0</v>
      </c>
      <c r="D15" s="155">
        <v>0</v>
      </c>
      <c r="E15" s="155">
        <v>0</v>
      </c>
      <c r="F15" s="155">
        <v>0</v>
      </c>
      <c r="G15" s="155">
        <v>1000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si="1"/>
        <v>1000</v>
      </c>
    </row>
    <row r="16" spans="1:15" x14ac:dyDescent="0.25">
      <c r="A16" s="154" t="s">
        <v>267</v>
      </c>
      <c r="B16" s="155">
        <v>0</v>
      </c>
      <c r="C16" s="155">
        <v>23</v>
      </c>
      <c r="D16" s="155">
        <v>23</v>
      </c>
      <c r="E16" s="155">
        <v>23</v>
      </c>
      <c r="F16" s="155">
        <v>23</v>
      </c>
      <c r="G16" s="155">
        <v>23</v>
      </c>
      <c r="H16" s="155">
        <v>23</v>
      </c>
      <c r="I16" s="155">
        <v>23</v>
      </c>
      <c r="J16" s="155">
        <v>23</v>
      </c>
      <c r="K16" s="155">
        <v>23</v>
      </c>
      <c r="L16" s="155">
        <v>23</v>
      </c>
      <c r="M16" s="155">
        <v>0</v>
      </c>
      <c r="N16" s="155">
        <f t="shared" si="1"/>
        <v>230</v>
      </c>
    </row>
    <row r="17" spans="1:14" x14ac:dyDescent="0.25">
      <c r="A17" s="154" t="s">
        <v>347</v>
      </c>
      <c r="B17" s="155">
        <v>0</v>
      </c>
      <c r="C17" s="155">
        <v>0</v>
      </c>
      <c r="D17" s="155">
        <v>0</v>
      </c>
      <c r="E17" s="155">
        <v>0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f t="shared" si="1"/>
        <v>0</v>
      </c>
    </row>
    <row r="18" spans="1:14" x14ac:dyDescent="0.25">
      <c r="A18" s="154" t="s">
        <v>270</v>
      </c>
      <c r="B18" s="155">
        <v>36</v>
      </c>
      <c r="C18" s="155">
        <v>36</v>
      </c>
      <c r="D18" s="155">
        <v>36</v>
      </c>
      <c r="E18" s="155">
        <v>36</v>
      </c>
      <c r="F18" s="155">
        <v>36</v>
      </c>
      <c r="G18" s="155">
        <v>36</v>
      </c>
      <c r="H18" s="155">
        <v>36</v>
      </c>
      <c r="I18" s="155">
        <v>36</v>
      </c>
      <c r="J18" s="155">
        <v>36</v>
      </c>
      <c r="K18" s="155">
        <v>36</v>
      </c>
      <c r="L18" s="155">
        <v>36</v>
      </c>
      <c r="M18" s="155">
        <v>36</v>
      </c>
      <c r="N18" s="155">
        <f t="shared" si="1"/>
        <v>432</v>
      </c>
    </row>
    <row r="19" spans="1:14" x14ac:dyDescent="0.25">
      <c r="A19" s="154" t="s">
        <v>331</v>
      </c>
      <c r="B19" s="155">
        <v>95</v>
      </c>
      <c r="C19" s="155">
        <v>95</v>
      </c>
      <c r="D19" s="155">
        <v>95</v>
      </c>
      <c r="E19" s="155">
        <v>95</v>
      </c>
      <c r="F19" s="155">
        <v>95</v>
      </c>
      <c r="G19" s="155">
        <v>95</v>
      </c>
      <c r="H19" s="155">
        <v>95</v>
      </c>
      <c r="I19" s="155">
        <v>95</v>
      </c>
      <c r="J19" s="155">
        <v>95</v>
      </c>
      <c r="K19" s="155">
        <v>95</v>
      </c>
      <c r="L19" s="155">
        <v>0</v>
      </c>
      <c r="M19" s="155">
        <v>0</v>
      </c>
      <c r="N19" s="155">
        <f t="shared" si="1"/>
        <v>950</v>
      </c>
    </row>
    <row r="20" spans="1:14" x14ac:dyDescent="0.25">
      <c r="A20" s="154" t="s">
        <v>355</v>
      </c>
      <c r="B20" s="155">
        <v>20</v>
      </c>
      <c r="C20" s="155">
        <v>0</v>
      </c>
      <c r="D20" s="155">
        <v>0</v>
      </c>
      <c r="E20" s="155">
        <v>0</v>
      </c>
      <c r="F20" s="155">
        <v>0</v>
      </c>
      <c r="G20" s="155">
        <v>0</v>
      </c>
      <c r="H20" s="155">
        <v>0</v>
      </c>
      <c r="I20" s="155">
        <v>0</v>
      </c>
      <c r="J20" s="155">
        <v>0</v>
      </c>
      <c r="K20" s="155">
        <v>0</v>
      </c>
      <c r="L20" s="155">
        <v>0</v>
      </c>
      <c r="M20" s="155">
        <v>0</v>
      </c>
      <c r="N20" s="155">
        <f t="shared" si="1"/>
        <v>20</v>
      </c>
    </row>
    <row r="21" spans="1:14" x14ac:dyDescent="0.25">
      <c r="A21" s="154" t="s">
        <v>275</v>
      </c>
      <c r="B21" s="155">
        <v>0</v>
      </c>
      <c r="C21" s="155">
        <v>0</v>
      </c>
      <c r="D21" s="155">
        <v>0</v>
      </c>
      <c r="E21" s="155">
        <v>0</v>
      </c>
      <c r="F21" s="155">
        <v>0</v>
      </c>
      <c r="G21" s="155">
        <v>0</v>
      </c>
      <c r="H21" s="155">
        <v>0</v>
      </c>
      <c r="I21" s="155">
        <v>0</v>
      </c>
      <c r="J21" s="155">
        <v>0</v>
      </c>
      <c r="K21" s="155">
        <v>0</v>
      </c>
      <c r="L21" s="155">
        <v>0</v>
      </c>
      <c r="M21" s="155">
        <v>0</v>
      </c>
      <c r="N21" s="155">
        <f t="shared" si="1"/>
        <v>0</v>
      </c>
    </row>
    <row r="22" spans="1:14" x14ac:dyDescent="0.25">
      <c r="A22" s="156" t="s">
        <v>196</v>
      </c>
      <c r="B22" s="157">
        <f>SUM(B11:B21)</f>
        <v>251</v>
      </c>
      <c r="C22" s="157">
        <f t="shared" ref="C22:N22" si="2">SUM(C11:C21)</f>
        <v>592</v>
      </c>
      <c r="D22" s="157">
        <f t="shared" si="2"/>
        <v>1654</v>
      </c>
      <c r="E22" s="157">
        <f t="shared" si="2"/>
        <v>31154</v>
      </c>
      <c r="F22" s="157">
        <f t="shared" si="2"/>
        <v>154</v>
      </c>
      <c r="G22" s="157">
        <f t="shared" si="2"/>
        <v>1244</v>
      </c>
      <c r="H22" s="157">
        <f t="shared" si="2"/>
        <v>154</v>
      </c>
      <c r="I22" s="157">
        <f t="shared" si="2"/>
        <v>492</v>
      </c>
      <c r="J22" s="157">
        <f t="shared" si="2"/>
        <v>31154</v>
      </c>
      <c r="K22" s="157">
        <f t="shared" si="2"/>
        <v>154</v>
      </c>
      <c r="L22" s="157">
        <f t="shared" si="2"/>
        <v>59</v>
      </c>
      <c r="M22" s="157">
        <f t="shared" si="2"/>
        <v>36</v>
      </c>
      <c r="N22" s="157">
        <f t="shared" si="2"/>
        <v>67098</v>
      </c>
    </row>
    <row r="23" spans="1:14" x14ac:dyDescent="0.25">
      <c r="A23" s="158" t="s">
        <v>197</v>
      </c>
      <c r="B23" s="157">
        <f t="shared" ref="B23:N23" si="3">SUM(B22)</f>
        <v>251</v>
      </c>
      <c r="C23" s="157">
        <f t="shared" ref="C23:M23" si="4">SUM(C22)</f>
        <v>592</v>
      </c>
      <c r="D23" s="157">
        <f t="shared" si="4"/>
        <v>1654</v>
      </c>
      <c r="E23" s="157">
        <f t="shared" si="4"/>
        <v>31154</v>
      </c>
      <c r="F23" s="157">
        <f t="shared" si="4"/>
        <v>154</v>
      </c>
      <c r="G23" s="157">
        <f t="shared" si="4"/>
        <v>1244</v>
      </c>
      <c r="H23" s="157">
        <f t="shared" si="4"/>
        <v>154</v>
      </c>
      <c r="I23" s="157">
        <f t="shared" si="4"/>
        <v>492</v>
      </c>
      <c r="J23" s="157">
        <f t="shared" si="4"/>
        <v>31154</v>
      </c>
      <c r="K23" s="157">
        <f t="shared" si="4"/>
        <v>154</v>
      </c>
      <c r="L23" s="157">
        <f t="shared" si="4"/>
        <v>59</v>
      </c>
      <c r="M23" s="157">
        <f t="shared" si="4"/>
        <v>36</v>
      </c>
      <c r="N23" s="157">
        <f t="shared" si="3"/>
        <v>67098</v>
      </c>
    </row>
    <row r="24" spans="1:14" x14ac:dyDescent="0.25">
      <c r="A24" s="149" t="s">
        <v>198</v>
      </c>
      <c r="B24" s="150">
        <f t="shared" ref="B24:N24" si="5">B8-B23</f>
        <v>-251</v>
      </c>
      <c r="C24" s="150">
        <f t="shared" si="5"/>
        <v>-592</v>
      </c>
      <c r="D24" s="150">
        <f t="shared" si="5"/>
        <v>-1654</v>
      </c>
      <c r="E24" s="150">
        <f t="shared" si="5"/>
        <v>-31154</v>
      </c>
      <c r="F24" s="150">
        <f t="shared" si="5"/>
        <v>-154</v>
      </c>
      <c r="G24" s="150">
        <f t="shared" si="5"/>
        <v>-1244</v>
      </c>
      <c r="H24" s="150">
        <f t="shared" si="5"/>
        <v>-154</v>
      </c>
      <c r="I24" s="150">
        <f t="shared" si="5"/>
        <v>-492</v>
      </c>
      <c r="J24" s="150">
        <f t="shared" si="5"/>
        <v>-31154</v>
      </c>
      <c r="K24" s="150">
        <f t="shared" si="5"/>
        <v>-154</v>
      </c>
      <c r="L24" s="150">
        <f t="shared" si="5"/>
        <v>-59</v>
      </c>
      <c r="M24" s="150">
        <f t="shared" si="5"/>
        <v>-36</v>
      </c>
      <c r="N24" s="150">
        <f t="shared" si="5"/>
        <v>-67098</v>
      </c>
    </row>
    <row r="25" spans="1:14" x14ac:dyDescent="0.25">
      <c r="A25" s="149" t="s">
        <v>31</v>
      </c>
      <c r="B25" s="150">
        <f t="shared" ref="B25:N25" si="6">B24+0+0</f>
        <v>-251</v>
      </c>
      <c r="C25" s="150">
        <f t="shared" si="6"/>
        <v>-592</v>
      </c>
      <c r="D25" s="150">
        <f t="shared" si="6"/>
        <v>-1654</v>
      </c>
      <c r="E25" s="150">
        <f t="shared" si="6"/>
        <v>-31154</v>
      </c>
      <c r="F25" s="150">
        <f t="shared" si="6"/>
        <v>-154</v>
      </c>
      <c r="G25" s="150">
        <f t="shared" si="6"/>
        <v>-1244</v>
      </c>
      <c r="H25" s="150">
        <f t="shared" si="6"/>
        <v>-154</v>
      </c>
      <c r="I25" s="150">
        <f t="shared" si="6"/>
        <v>-492</v>
      </c>
      <c r="J25" s="150">
        <f t="shared" si="6"/>
        <v>-31154</v>
      </c>
      <c r="K25" s="150">
        <f t="shared" si="6"/>
        <v>-154</v>
      </c>
      <c r="L25" s="150">
        <f t="shared" si="6"/>
        <v>-59</v>
      </c>
      <c r="M25" s="150">
        <f t="shared" si="6"/>
        <v>-36</v>
      </c>
      <c r="N25" s="150">
        <f t="shared" si="6"/>
        <v>-67098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F9EE9-8B43-4586-848C-7FA9241B4606}">
  <sheetPr>
    <tabColor rgb="FFFFFF00"/>
  </sheetPr>
  <dimension ref="A1:N19"/>
  <sheetViews>
    <sheetView zoomScaleNormal="100" workbookViewId="0">
      <selection activeCell="L31" sqref="L31"/>
    </sheetView>
  </sheetViews>
  <sheetFormatPr defaultColWidth="6.5" defaultRowHeight="15.75" x14ac:dyDescent="0.25"/>
  <cols>
    <col min="1" max="1" width="46.125" bestFit="1" customWidth="1"/>
    <col min="2" max="2" width="6.875" bestFit="1" customWidth="1"/>
    <col min="3" max="3" width="6.5" customWidth="1"/>
    <col min="4" max="4" width="6.75" bestFit="1" customWidth="1"/>
    <col min="5" max="5" width="6.5" bestFit="1" customWidth="1"/>
    <col min="6" max="6" width="7.25" bestFit="1" customWidth="1"/>
    <col min="7" max="7" width="6.5" bestFit="1" customWidth="1"/>
    <col min="8" max="8" width="6.5" customWidth="1"/>
    <col min="9" max="9" width="6.75" bestFit="1" customWidth="1"/>
    <col min="10" max="10" width="7.25" bestFit="1" customWidth="1"/>
    <col min="11" max="11" width="6.5" bestFit="1" customWidth="1"/>
    <col min="12" max="12" width="6.875" bestFit="1" customWidth="1"/>
    <col min="13" max="13" width="6.875" customWidth="1"/>
    <col min="14" max="14" width="8.25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113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353</v>
      </c>
      <c r="B11" s="155">
        <v>0</v>
      </c>
      <c r="C11" s="155">
        <v>0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>SUM(B11:M11)</f>
        <v>0</v>
      </c>
    </row>
    <row r="12" spans="1:14" x14ac:dyDescent="0.25">
      <c r="A12" s="154" t="s">
        <v>336</v>
      </c>
      <c r="B12" s="155">
        <v>0</v>
      </c>
      <c r="C12" s="155">
        <v>0</v>
      </c>
      <c r="D12" s="155">
        <v>250</v>
      </c>
      <c r="E12" s="155">
        <v>200</v>
      </c>
      <c r="F12" s="155">
        <v>200</v>
      </c>
      <c r="G12" s="155">
        <v>200</v>
      </c>
      <c r="H12" s="155">
        <v>0</v>
      </c>
      <c r="I12" s="155">
        <v>200</v>
      </c>
      <c r="J12" s="155">
        <v>200</v>
      </c>
      <c r="K12" s="155">
        <v>200</v>
      </c>
      <c r="L12" s="155">
        <v>200</v>
      </c>
      <c r="M12" s="155">
        <v>0</v>
      </c>
      <c r="N12" s="155">
        <f>SUM(B12:M12)</f>
        <v>1650</v>
      </c>
    </row>
    <row r="13" spans="1:14" x14ac:dyDescent="0.25">
      <c r="A13" s="154" t="s">
        <v>269</v>
      </c>
      <c r="B13" s="155">
        <v>0</v>
      </c>
      <c r="C13" s="155">
        <v>550</v>
      </c>
      <c r="D13" s="155">
        <v>475</v>
      </c>
      <c r="E13" s="155">
        <v>0</v>
      </c>
      <c r="F13" s="155">
        <v>0</v>
      </c>
      <c r="G13" s="155">
        <v>0</v>
      </c>
      <c r="H13" s="155">
        <v>0</v>
      </c>
      <c r="I13" s="155">
        <v>475</v>
      </c>
      <c r="J13" s="155">
        <v>0</v>
      </c>
      <c r="K13" s="155">
        <v>0</v>
      </c>
      <c r="L13" s="155">
        <v>0</v>
      </c>
      <c r="M13" s="155">
        <v>0</v>
      </c>
      <c r="N13" s="155">
        <f>SUM(B13:M13)</f>
        <v>1500</v>
      </c>
    </row>
    <row r="14" spans="1:14" x14ac:dyDescent="0.25">
      <c r="A14" s="154" t="s">
        <v>355</v>
      </c>
      <c r="B14" s="155">
        <v>30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>SUM(B14:M14)</f>
        <v>30</v>
      </c>
    </row>
    <row r="15" spans="1:14" x14ac:dyDescent="0.25">
      <c r="A15" s="154" t="s">
        <v>270</v>
      </c>
      <c r="B15" s="155">
        <v>12</v>
      </c>
      <c r="C15" s="155">
        <v>12</v>
      </c>
      <c r="D15" s="155">
        <v>12</v>
      </c>
      <c r="E15" s="155">
        <v>12</v>
      </c>
      <c r="F15" s="155">
        <v>12</v>
      </c>
      <c r="G15" s="155">
        <v>12</v>
      </c>
      <c r="H15" s="155">
        <v>12</v>
      </c>
      <c r="I15" s="155">
        <v>12</v>
      </c>
      <c r="J15" s="155">
        <v>12</v>
      </c>
      <c r="K15" s="155">
        <v>12</v>
      </c>
      <c r="L15" s="155">
        <v>12</v>
      </c>
      <c r="M15" s="155">
        <v>12</v>
      </c>
      <c r="N15" s="155">
        <f>SUM(B15:M15)</f>
        <v>144</v>
      </c>
    </row>
    <row r="16" spans="1:14" x14ac:dyDescent="0.25">
      <c r="A16" s="156" t="s">
        <v>196</v>
      </c>
      <c r="B16" s="157">
        <f t="shared" ref="B16:N16" si="1">SUM(B11:B15)</f>
        <v>42</v>
      </c>
      <c r="C16" s="157">
        <f t="shared" si="1"/>
        <v>562</v>
      </c>
      <c r="D16" s="157">
        <f t="shared" si="1"/>
        <v>737</v>
      </c>
      <c r="E16" s="157">
        <f t="shared" si="1"/>
        <v>212</v>
      </c>
      <c r="F16" s="157">
        <f t="shared" si="1"/>
        <v>212</v>
      </c>
      <c r="G16" s="157">
        <f t="shared" si="1"/>
        <v>212</v>
      </c>
      <c r="H16" s="157">
        <f t="shared" si="1"/>
        <v>12</v>
      </c>
      <c r="I16" s="157">
        <f t="shared" si="1"/>
        <v>687</v>
      </c>
      <c r="J16" s="157">
        <f t="shared" si="1"/>
        <v>212</v>
      </c>
      <c r="K16" s="157">
        <f t="shared" si="1"/>
        <v>212</v>
      </c>
      <c r="L16" s="157">
        <f t="shared" si="1"/>
        <v>212</v>
      </c>
      <c r="M16" s="157">
        <f t="shared" si="1"/>
        <v>12</v>
      </c>
      <c r="N16" s="157">
        <f t="shared" si="1"/>
        <v>3324</v>
      </c>
    </row>
    <row r="17" spans="1:14" x14ac:dyDescent="0.25">
      <c r="A17" s="158" t="s">
        <v>197</v>
      </c>
      <c r="B17" s="157">
        <f t="shared" ref="B17:N17" si="2">SUM(B16)</f>
        <v>42</v>
      </c>
      <c r="C17" s="157">
        <f t="shared" si="2"/>
        <v>562</v>
      </c>
      <c r="D17" s="157">
        <f t="shared" si="2"/>
        <v>737</v>
      </c>
      <c r="E17" s="157">
        <f t="shared" si="2"/>
        <v>212</v>
      </c>
      <c r="F17" s="157">
        <f t="shared" si="2"/>
        <v>212</v>
      </c>
      <c r="G17" s="157">
        <f t="shared" si="2"/>
        <v>212</v>
      </c>
      <c r="H17" s="157">
        <f t="shared" si="2"/>
        <v>12</v>
      </c>
      <c r="I17" s="157">
        <f t="shared" si="2"/>
        <v>687</v>
      </c>
      <c r="J17" s="157">
        <f t="shared" si="2"/>
        <v>212</v>
      </c>
      <c r="K17" s="157">
        <f t="shared" si="2"/>
        <v>212</v>
      </c>
      <c r="L17" s="157">
        <f t="shared" si="2"/>
        <v>212</v>
      </c>
      <c r="M17" s="157">
        <f t="shared" si="2"/>
        <v>12</v>
      </c>
      <c r="N17" s="157">
        <f t="shared" si="2"/>
        <v>3324</v>
      </c>
    </row>
    <row r="18" spans="1:14" x14ac:dyDescent="0.25">
      <c r="A18" s="149" t="s">
        <v>198</v>
      </c>
      <c r="B18" s="150">
        <f t="shared" ref="B18:N18" si="3">B8-B17</f>
        <v>-42</v>
      </c>
      <c r="C18" s="150">
        <f t="shared" si="3"/>
        <v>-562</v>
      </c>
      <c r="D18" s="150">
        <f t="shared" si="3"/>
        <v>-737</v>
      </c>
      <c r="E18" s="150">
        <f t="shared" si="3"/>
        <v>-212</v>
      </c>
      <c r="F18" s="150">
        <f t="shared" si="3"/>
        <v>-212</v>
      </c>
      <c r="G18" s="150">
        <f t="shared" si="3"/>
        <v>-212</v>
      </c>
      <c r="H18" s="150">
        <f t="shared" si="3"/>
        <v>-12</v>
      </c>
      <c r="I18" s="150">
        <f t="shared" si="3"/>
        <v>-687</v>
      </c>
      <c r="J18" s="150">
        <f t="shared" si="3"/>
        <v>-212</v>
      </c>
      <c r="K18" s="150">
        <f t="shared" si="3"/>
        <v>-212</v>
      </c>
      <c r="L18" s="150">
        <f t="shared" si="3"/>
        <v>-212</v>
      </c>
      <c r="M18" s="150">
        <f t="shared" si="3"/>
        <v>-12</v>
      </c>
      <c r="N18" s="150">
        <f t="shared" si="3"/>
        <v>-3324</v>
      </c>
    </row>
    <row r="19" spans="1:14" x14ac:dyDescent="0.25">
      <c r="A19" s="149" t="s">
        <v>31</v>
      </c>
      <c r="B19" s="150">
        <f t="shared" ref="B19:N19" si="4">B18+0+0</f>
        <v>-42</v>
      </c>
      <c r="C19" s="150">
        <f t="shared" si="4"/>
        <v>-562</v>
      </c>
      <c r="D19" s="150">
        <f t="shared" si="4"/>
        <v>-737</v>
      </c>
      <c r="E19" s="150">
        <f t="shared" si="4"/>
        <v>-212</v>
      </c>
      <c r="F19" s="150">
        <f t="shared" si="4"/>
        <v>-212</v>
      </c>
      <c r="G19" s="150">
        <f t="shared" si="4"/>
        <v>-212</v>
      </c>
      <c r="H19" s="150">
        <f t="shared" si="4"/>
        <v>-12</v>
      </c>
      <c r="I19" s="150">
        <f t="shared" si="4"/>
        <v>-687</v>
      </c>
      <c r="J19" s="150">
        <f t="shared" si="4"/>
        <v>-212</v>
      </c>
      <c r="K19" s="150">
        <f t="shared" si="4"/>
        <v>-212</v>
      </c>
      <c r="L19" s="150">
        <f t="shared" si="4"/>
        <v>-212</v>
      </c>
      <c r="M19" s="150">
        <f t="shared" si="4"/>
        <v>-12</v>
      </c>
      <c r="N19" s="150">
        <f t="shared" si="4"/>
        <v>-3324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65D11-D4B1-4AC7-B227-6E024A0170BD}">
  <sheetPr codeName="Sheet27">
    <tabColor rgb="FFFFFF00"/>
  </sheetPr>
  <dimension ref="A1:N46"/>
  <sheetViews>
    <sheetView topLeftCell="A2" zoomScale="98" zoomScaleNormal="98" workbookViewId="0">
      <pane xSplit="1" ySplit="6" topLeftCell="B26" activePane="bottomRight" state="frozen"/>
      <selection pane="topRight" activeCell="K36" sqref="K36"/>
      <selection pane="bottomLeft" activeCell="K36" sqref="K36"/>
      <selection pane="bottomRight" activeCell="H60" sqref="H60"/>
    </sheetView>
  </sheetViews>
  <sheetFormatPr defaultColWidth="8.875" defaultRowHeight="15.75" x14ac:dyDescent="0.25"/>
  <cols>
    <col min="1" max="1" width="55.625" bestFit="1" customWidth="1"/>
    <col min="2" max="2" width="10.125" bestFit="1" customWidth="1"/>
    <col min="3" max="4" width="9.875" bestFit="1" customWidth="1"/>
    <col min="5" max="5" width="10.125" bestFit="1" customWidth="1"/>
    <col min="6" max="8" width="9.875" bestFit="1" customWidth="1"/>
    <col min="9" max="9" width="10.125" bestFit="1" customWidth="1"/>
    <col min="10" max="13" width="9.875" bestFit="1" customWidth="1"/>
    <col min="14" max="14" width="11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368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188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18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352</v>
      </c>
      <c r="B11" s="155">
        <v>45000</v>
      </c>
      <c r="C11" s="155">
        <v>0</v>
      </c>
      <c r="D11" s="155">
        <v>0</v>
      </c>
      <c r="E11" s="155">
        <v>0</v>
      </c>
      <c r="F11" s="155">
        <v>2500</v>
      </c>
      <c r="G11" s="155">
        <v>0</v>
      </c>
      <c r="H11" s="155">
        <v>0</v>
      </c>
      <c r="I11" s="155">
        <v>0</v>
      </c>
      <c r="J11" s="155">
        <v>0</v>
      </c>
      <c r="K11" s="155">
        <v>2500</v>
      </c>
      <c r="L11" s="155">
        <v>0</v>
      </c>
      <c r="M11" s="155">
        <v>0</v>
      </c>
      <c r="N11" s="155">
        <f>SUM(B11:M11)</f>
        <v>50000</v>
      </c>
    </row>
    <row r="12" spans="1:14" x14ac:dyDescent="0.25">
      <c r="A12" s="154" t="s">
        <v>344</v>
      </c>
      <c r="B12" s="155">
        <v>0</v>
      </c>
      <c r="C12" s="155">
        <v>0</v>
      </c>
      <c r="D12" s="155">
        <v>0</v>
      </c>
      <c r="E12" s="155">
        <v>0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>SUM(B12:M12)</f>
        <v>0</v>
      </c>
    </row>
    <row r="13" spans="1:14" x14ac:dyDescent="0.25">
      <c r="A13" s="154" t="s">
        <v>336</v>
      </c>
      <c r="B13" s="155">
        <v>0</v>
      </c>
      <c r="C13" s="155">
        <v>2000</v>
      </c>
      <c r="D13" s="155">
        <v>2000</v>
      </c>
      <c r="E13" s="155">
        <v>2000</v>
      </c>
      <c r="F13" s="155">
        <v>2000</v>
      </c>
      <c r="G13" s="155">
        <v>2000</v>
      </c>
      <c r="H13" s="155">
        <v>2000</v>
      </c>
      <c r="I13" s="155">
        <v>2000</v>
      </c>
      <c r="J13" s="155">
        <v>2000</v>
      </c>
      <c r="K13" s="155">
        <v>2000</v>
      </c>
      <c r="L13" s="155">
        <v>2000</v>
      </c>
      <c r="M13" s="155">
        <v>0</v>
      </c>
      <c r="N13" s="155">
        <f t="shared" ref="N13:N23" si="1">SUM(B13:M13)</f>
        <v>20000</v>
      </c>
    </row>
    <row r="14" spans="1:14" x14ac:dyDescent="0.25">
      <c r="A14" s="154" t="s">
        <v>27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0</v>
      </c>
    </row>
    <row r="15" spans="1:14" x14ac:dyDescent="0.25">
      <c r="A15" s="154" t="s">
        <v>212</v>
      </c>
      <c r="B15" s="155">
        <v>350</v>
      </c>
      <c r="C15" s="155">
        <v>350</v>
      </c>
      <c r="D15" s="155">
        <v>350</v>
      </c>
      <c r="E15" s="155">
        <v>350</v>
      </c>
      <c r="F15" s="155">
        <v>350</v>
      </c>
      <c r="G15" s="155">
        <v>350</v>
      </c>
      <c r="H15" s="155">
        <v>350</v>
      </c>
      <c r="I15" s="155">
        <v>350</v>
      </c>
      <c r="J15" s="155">
        <v>350</v>
      </c>
      <c r="K15" s="155">
        <v>350</v>
      </c>
      <c r="L15" s="155">
        <v>350</v>
      </c>
      <c r="M15" s="155">
        <v>350</v>
      </c>
      <c r="N15" s="155">
        <f t="shared" si="1"/>
        <v>4200</v>
      </c>
    </row>
    <row r="16" spans="1:14" x14ac:dyDescent="0.25">
      <c r="A16" s="154" t="s">
        <v>213</v>
      </c>
      <c r="B16" s="155">
        <v>40</v>
      </c>
      <c r="C16" s="155">
        <v>40</v>
      </c>
      <c r="D16" s="155">
        <v>40</v>
      </c>
      <c r="E16" s="155">
        <v>40</v>
      </c>
      <c r="F16" s="155">
        <v>40</v>
      </c>
      <c r="G16" s="155">
        <v>40</v>
      </c>
      <c r="H16" s="155">
        <v>40</v>
      </c>
      <c r="I16" s="155">
        <v>40</v>
      </c>
      <c r="J16" s="155">
        <v>40</v>
      </c>
      <c r="K16" s="155">
        <v>40</v>
      </c>
      <c r="L16" s="155">
        <v>40</v>
      </c>
      <c r="M16" s="155">
        <v>40</v>
      </c>
      <c r="N16" s="155">
        <f t="shared" si="1"/>
        <v>480</v>
      </c>
    </row>
    <row r="17" spans="1:14" x14ac:dyDescent="0.25">
      <c r="A17" s="154" t="s">
        <v>214</v>
      </c>
      <c r="B17" s="155">
        <v>120</v>
      </c>
      <c r="C17" s="155">
        <v>120</v>
      </c>
      <c r="D17" s="155">
        <v>120</v>
      </c>
      <c r="E17" s="155">
        <v>120</v>
      </c>
      <c r="F17" s="155">
        <v>120</v>
      </c>
      <c r="G17" s="155">
        <v>120</v>
      </c>
      <c r="H17" s="155">
        <v>120</v>
      </c>
      <c r="I17" s="155">
        <v>120</v>
      </c>
      <c r="J17" s="155">
        <v>120</v>
      </c>
      <c r="K17" s="155">
        <v>120</v>
      </c>
      <c r="L17" s="155">
        <v>120</v>
      </c>
      <c r="M17" s="155">
        <v>120</v>
      </c>
      <c r="N17" s="155">
        <f t="shared" si="1"/>
        <v>1440</v>
      </c>
    </row>
    <row r="18" spans="1:14" x14ac:dyDescent="0.25">
      <c r="A18" s="154" t="s">
        <v>369</v>
      </c>
      <c r="B18" s="155">
        <v>3750</v>
      </c>
      <c r="C18" s="155">
        <v>3750</v>
      </c>
      <c r="D18" s="155">
        <v>3750</v>
      </c>
      <c r="E18" s="155">
        <v>3750</v>
      </c>
      <c r="F18" s="155">
        <v>3750</v>
      </c>
      <c r="G18" s="155">
        <v>3750</v>
      </c>
      <c r="H18" s="155">
        <v>3750</v>
      </c>
      <c r="I18" s="155">
        <v>3750</v>
      </c>
      <c r="J18" s="155">
        <v>3750</v>
      </c>
      <c r="K18" s="155">
        <v>3750</v>
      </c>
      <c r="L18" s="155">
        <v>3750</v>
      </c>
      <c r="M18" s="155">
        <v>3750</v>
      </c>
      <c r="N18" s="155">
        <f t="shared" si="1"/>
        <v>45000</v>
      </c>
    </row>
    <row r="19" spans="1:14" x14ac:dyDescent="0.25">
      <c r="A19" s="154" t="s">
        <v>267</v>
      </c>
      <c r="B19" s="155">
        <v>160</v>
      </c>
      <c r="C19" s="155">
        <v>30</v>
      </c>
      <c r="D19" s="155">
        <v>30</v>
      </c>
      <c r="E19" s="155">
        <v>30</v>
      </c>
      <c r="F19" s="155">
        <v>30</v>
      </c>
      <c r="G19" s="155">
        <v>30</v>
      </c>
      <c r="H19" s="155">
        <v>30</v>
      </c>
      <c r="I19" s="155">
        <v>30</v>
      </c>
      <c r="J19" s="155">
        <v>30</v>
      </c>
      <c r="K19" s="155">
        <v>30</v>
      </c>
      <c r="L19" s="155">
        <v>30</v>
      </c>
      <c r="M19" s="155">
        <v>30</v>
      </c>
      <c r="N19" s="155">
        <f t="shared" si="1"/>
        <v>490</v>
      </c>
    </row>
    <row r="20" spans="1:14" x14ac:dyDescent="0.25">
      <c r="A20" s="154" t="s">
        <v>264</v>
      </c>
      <c r="B20" s="155">
        <v>0</v>
      </c>
      <c r="C20" s="155">
        <v>0</v>
      </c>
      <c r="D20" s="155">
        <v>0</v>
      </c>
      <c r="E20" s="155">
        <v>0</v>
      </c>
      <c r="F20" s="155">
        <v>0</v>
      </c>
      <c r="G20" s="155">
        <v>0</v>
      </c>
      <c r="H20" s="155">
        <v>0</v>
      </c>
      <c r="I20" s="155">
        <v>0</v>
      </c>
      <c r="J20" s="155">
        <v>0</v>
      </c>
      <c r="K20" s="155">
        <v>0</v>
      </c>
      <c r="L20" s="155">
        <v>0</v>
      </c>
      <c r="M20" s="155">
        <v>0</v>
      </c>
      <c r="N20" s="155">
        <f t="shared" si="1"/>
        <v>0</v>
      </c>
    </row>
    <row r="21" spans="1:14" x14ac:dyDescent="0.25">
      <c r="A21" s="154" t="s">
        <v>270</v>
      </c>
      <c r="B21" s="155">
        <v>90</v>
      </c>
      <c r="C21" s="155">
        <v>90</v>
      </c>
      <c r="D21" s="155">
        <v>90</v>
      </c>
      <c r="E21" s="155">
        <v>90</v>
      </c>
      <c r="F21" s="155">
        <v>90</v>
      </c>
      <c r="G21" s="155">
        <v>90</v>
      </c>
      <c r="H21" s="155">
        <v>90</v>
      </c>
      <c r="I21" s="155">
        <v>90</v>
      </c>
      <c r="J21" s="155">
        <v>90</v>
      </c>
      <c r="K21" s="155">
        <v>90</v>
      </c>
      <c r="L21" s="155">
        <v>90</v>
      </c>
      <c r="M21" s="155">
        <v>90</v>
      </c>
      <c r="N21" s="155">
        <f t="shared" si="1"/>
        <v>1080</v>
      </c>
    </row>
    <row r="22" spans="1:14" x14ac:dyDescent="0.25">
      <c r="A22" s="154" t="s">
        <v>220</v>
      </c>
      <c r="B22" s="155">
        <v>342.25</v>
      </c>
      <c r="C22" s="155">
        <v>342.25</v>
      </c>
      <c r="D22" s="155">
        <v>342.25</v>
      </c>
      <c r="E22" s="155">
        <v>342.25</v>
      </c>
      <c r="F22" s="155">
        <v>342.25</v>
      </c>
      <c r="G22" s="155">
        <v>342.25</v>
      </c>
      <c r="H22" s="155">
        <v>342.25</v>
      </c>
      <c r="I22" s="155">
        <v>342.25</v>
      </c>
      <c r="J22" s="155">
        <v>342.25</v>
      </c>
      <c r="K22" s="155">
        <v>342.25</v>
      </c>
      <c r="L22" s="155">
        <v>342.25</v>
      </c>
      <c r="M22" s="155">
        <v>342.25</v>
      </c>
      <c r="N22" s="155">
        <f t="shared" si="1"/>
        <v>4107</v>
      </c>
    </row>
    <row r="23" spans="1:14" x14ac:dyDescent="0.25">
      <c r="A23" s="154" t="s">
        <v>275</v>
      </c>
      <c r="B23" s="155">
        <v>78.180000000000007</v>
      </c>
      <c r="C23" s="155">
        <v>78.180000000000007</v>
      </c>
      <c r="D23" s="155">
        <v>78.180000000000007</v>
      </c>
      <c r="E23" s="155">
        <v>78.180000000000007</v>
      </c>
      <c r="F23" s="155">
        <v>78.180000000000007</v>
      </c>
      <c r="G23" s="155">
        <v>78.180000000000007</v>
      </c>
      <c r="H23" s="155">
        <v>78.180000000000007</v>
      </c>
      <c r="I23" s="155">
        <v>78.180000000000007</v>
      </c>
      <c r="J23" s="155">
        <v>78.180000000000007</v>
      </c>
      <c r="K23" s="155">
        <v>78.180000000000007</v>
      </c>
      <c r="L23" s="155">
        <v>78.180000000000007</v>
      </c>
      <c r="M23" s="155">
        <v>78.180000000000007</v>
      </c>
      <c r="N23" s="155">
        <f t="shared" si="1"/>
        <v>938.16000000000031</v>
      </c>
    </row>
    <row r="24" spans="1:14" x14ac:dyDescent="0.25">
      <c r="A24" s="156" t="s">
        <v>196</v>
      </c>
      <c r="B24" s="157">
        <f t="shared" ref="B24:M24" si="2">SUM(B12:B23)</f>
        <v>4930.43</v>
      </c>
      <c r="C24" s="157">
        <f t="shared" si="2"/>
        <v>6800.43</v>
      </c>
      <c r="D24" s="157">
        <f t="shared" si="2"/>
        <v>6800.43</v>
      </c>
      <c r="E24" s="157">
        <f t="shared" si="2"/>
        <v>6800.43</v>
      </c>
      <c r="F24" s="157">
        <f t="shared" si="2"/>
        <v>6800.43</v>
      </c>
      <c r="G24" s="157">
        <f t="shared" si="2"/>
        <v>6800.43</v>
      </c>
      <c r="H24" s="157">
        <f t="shared" si="2"/>
        <v>6800.43</v>
      </c>
      <c r="I24" s="157">
        <f t="shared" si="2"/>
        <v>6800.43</v>
      </c>
      <c r="J24" s="157">
        <f t="shared" si="2"/>
        <v>6800.43</v>
      </c>
      <c r="K24" s="157">
        <f t="shared" si="2"/>
        <v>6800.43</v>
      </c>
      <c r="L24" s="157">
        <f t="shared" si="2"/>
        <v>6800.43</v>
      </c>
      <c r="M24" s="157">
        <f t="shared" si="2"/>
        <v>4800.43</v>
      </c>
      <c r="N24" s="157">
        <f>SUM(N11:N23)</f>
        <v>127735.16</v>
      </c>
    </row>
    <row r="25" spans="1:14" x14ac:dyDescent="0.25">
      <c r="A25" s="153" t="s">
        <v>222</v>
      </c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</row>
    <row r="26" spans="1:14" x14ac:dyDescent="0.25">
      <c r="A26" s="154" t="s">
        <v>223</v>
      </c>
      <c r="B26" s="155">
        <v>20945.016207441637</v>
      </c>
      <c r="C26" s="155">
        <v>22047.385481517511</v>
      </c>
      <c r="D26" s="155">
        <v>23149.754755593385</v>
      </c>
      <c r="E26" s="155">
        <v>24252.124029669263</v>
      </c>
      <c r="F26" s="155">
        <v>25354.493303745137</v>
      </c>
      <c r="G26" s="155">
        <v>22047.385481517511</v>
      </c>
      <c r="H26" s="155">
        <v>25354.493303745137</v>
      </c>
      <c r="I26" s="155">
        <v>24252.124029669263</v>
      </c>
      <c r="J26" s="155">
        <v>23149.754755593385</v>
      </c>
      <c r="K26" s="155">
        <v>25354.493303745137</v>
      </c>
      <c r="L26" s="155">
        <v>23149.754755593385</v>
      </c>
      <c r="M26" s="155">
        <v>26529.272117239576</v>
      </c>
      <c r="N26" s="155">
        <f>SUM(B26:M26)</f>
        <v>285586.05152507039</v>
      </c>
    </row>
    <row r="27" spans="1:14" x14ac:dyDescent="0.25">
      <c r="A27" s="154" t="s">
        <v>224</v>
      </c>
      <c r="B27" s="155">
        <v>3495.1572089660176</v>
      </c>
      <c r="C27" s="155">
        <v>3679.1128515431765</v>
      </c>
      <c r="D27" s="155">
        <v>3863.0684941203353</v>
      </c>
      <c r="E27" s="155">
        <v>4047.0241366974938</v>
      </c>
      <c r="F27" s="155">
        <v>4230.9797792746531</v>
      </c>
      <c r="G27" s="155">
        <v>3679.1128515431765</v>
      </c>
      <c r="H27" s="155">
        <v>4230.9797792746531</v>
      </c>
      <c r="I27" s="155">
        <v>4047.0241366974938</v>
      </c>
      <c r="J27" s="155">
        <v>3863.0684941203353</v>
      </c>
      <c r="K27" s="155">
        <v>4230.9797792746531</v>
      </c>
      <c r="L27" s="155">
        <v>3863.0684941203353</v>
      </c>
      <c r="M27" s="155">
        <v>4047.0241366974938</v>
      </c>
      <c r="N27" s="155">
        <f>SUM(B27:M27)</f>
        <v>47276.600142329822</v>
      </c>
    </row>
    <row r="28" spans="1:14" x14ac:dyDescent="0.25">
      <c r="A28" s="154" t="s">
        <v>225</v>
      </c>
      <c r="B28" s="155">
        <v>221.93612846223175</v>
      </c>
      <c r="C28" s="155">
        <v>233.616977328665</v>
      </c>
      <c r="D28" s="155">
        <v>245.29782619509825</v>
      </c>
      <c r="E28" s="155">
        <v>256.97867506153148</v>
      </c>
      <c r="F28" s="155">
        <v>268.65952392796476</v>
      </c>
      <c r="G28" s="155">
        <v>233.616977328665</v>
      </c>
      <c r="H28" s="155">
        <v>268.65952392796476</v>
      </c>
      <c r="I28" s="155">
        <v>256.97867506153148</v>
      </c>
      <c r="J28" s="155">
        <v>245.29782619509825</v>
      </c>
      <c r="K28" s="155">
        <v>268.65952392796476</v>
      </c>
      <c r="L28" s="155">
        <v>245.29782619509825</v>
      </c>
      <c r="M28" s="155">
        <v>256.97867506153148</v>
      </c>
      <c r="N28" s="155">
        <f>SUM(B28:M28)</f>
        <v>3001.9781586733452</v>
      </c>
    </row>
    <row r="29" spans="1:14" x14ac:dyDescent="0.25">
      <c r="A29" s="154" t="s">
        <v>226</v>
      </c>
      <c r="B29" s="155">
        <v>2471.6683702388264</v>
      </c>
      <c r="C29" s="155">
        <v>1992.690652882975</v>
      </c>
      <c r="D29" s="155">
        <v>2092.3251855271237</v>
      </c>
      <c r="E29" s="155">
        <v>2191.9597181712725</v>
      </c>
      <c r="F29" s="155">
        <v>2291.5942508154212</v>
      </c>
      <c r="G29" s="155">
        <v>1992.690652882975</v>
      </c>
      <c r="H29" s="155">
        <v>2291.5942508154212</v>
      </c>
      <c r="I29" s="155">
        <v>2191.9597181712725</v>
      </c>
      <c r="J29" s="155">
        <v>2092.3251855271237</v>
      </c>
      <c r="K29" s="155">
        <v>2291.5942508154212</v>
      </c>
      <c r="L29" s="155">
        <v>2092.3251855271237</v>
      </c>
      <c r="M29" s="155">
        <v>2191.9597181712725</v>
      </c>
      <c r="N29" s="155">
        <f>SUM(B29:M29)</f>
        <v>26184.687139546229</v>
      </c>
    </row>
    <row r="30" spans="1:14" x14ac:dyDescent="0.25">
      <c r="A30" s="154" t="s">
        <v>227</v>
      </c>
      <c r="B30" s="155">
        <v>762.0356551860408</v>
      </c>
      <c r="C30" s="155">
        <v>551.1846370379377</v>
      </c>
      <c r="D30" s="155">
        <v>578.74386888983463</v>
      </c>
      <c r="E30" s="155">
        <v>606.30310074173144</v>
      </c>
      <c r="F30" s="155">
        <v>633.86233259362837</v>
      </c>
      <c r="G30" s="155">
        <v>551.1846370379377</v>
      </c>
      <c r="H30" s="155">
        <v>633.86233259362837</v>
      </c>
      <c r="I30" s="155">
        <v>606.30310074173144</v>
      </c>
      <c r="J30" s="155">
        <v>578.74386888983463</v>
      </c>
      <c r="K30" s="155">
        <v>633.86233259362837</v>
      </c>
      <c r="L30" s="155">
        <v>578.74386888983463</v>
      </c>
      <c r="M30" s="155">
        <v>606.30310074173144</v>
      </c>
      <c r="N30" s="155">
        <f>SUM(B30:M30)</f>
        <v>7321.1328359374993</v>
      </c>
    </row>
    <row r="31" spans="1:14" x14ac:dyDescent="0.25">
      <c r="A31" s="156" t="s">
        <v>228</v>
      </c>
      <c r="B31" s="157">
        <f t="shared" ref="B31:N31" si="3">SUM(B26:B30)</f>
        <v>27895.813570294755</v>
      </c>
      <c r="C31" s="157">
        <f t="shared" si="3"/>
        <v>28503.990600310266</v>
      </c>
      <c r="D31" s="157">
        <f t="shared" si="3"/>
        <v>29929.190130325776</v>
      </c>
      <c r="E31" s="157">
        <f t="shared" si="3"/>
        <v>31354.389660341294</v>
      </c>
      <c r="F31" s="157">
        <f t="shared" si="3"/>
        <v>32779.589190356804</v>
      </c>
      <c r="G31" s="157">
        <f t="shared" si="3"/>
        <v>28503.990600310266</v>
      </c>
      <c r="H31" s="157">
        <f t="shared" si="3"/>
        <v>32779.589190356804</v>
      </c>
      <c r="I31" s="157">
        <f t="shared" si="3"/>
        <v>31354.389660341294</v>
      </c>
      <c r="J31" s="157">
        <f t="shared" si="3"/>
        <v>29929.190130325776</v>
      </c>
      <c r="K31" s="157">
        <f t="shared" si="3"/>
        <v>32779.589190356804</v>
      </c>
      <c r="L31" s="157">
        <f t="shared" si="3"/>
        <v>29929.190130325776</v>
      </c>
      <c r="M31" s="157">
        <f t="shared" si="3"/>
        <v>33631.537747911607</v>
      </c>
      <c r="N31" s="157">
        <f t="shared" si="3"/>
        <v>369370.44980155723</v>
      </c>
    </row>
    <row r="32" spans="1:14" x14ac:dyDescent="0.25">
      <c r="A32" s="158" t="s">
        <v>197</v>
      </c>
      <c r="B32" s="157">
        <f t="shared" ref="B32:N32" si="4">SUM(B24,B31)</f>
        <v>32826.243570294755</v>
      </c>
      <c r="C32" s="157">
        <f t="shared" si="4"/>
        <v>35304.420600310266</v>
      </c>
      <c r="D32" s="157">
        <f t="shared" si="4"/>
        <v>36729.620130325777</v>
      </c>
      <c r="E32" s="157">
        <f t="shared" si="4"/>
        <v>38154.819660341294</v>
      </c>
      <c r="F32" s="157">
        <f t="shared" si="4"/>
        <v>39580.019190356805</v>
      </c>
      <c r="G32" s="157">
        <f t="shared" si="4"/>
        <v>35304.420600310266</v>
      </c>
      <c r="H32" s="157">
        <f t="shared" si="4"/>
        <v>39580.019190356805</v>
      </c>
      <c r="I32" s="157">
        <f t="shared" si="4"/>
        <v>38154.819660341294</v>
      </c>
      <c r="J32" s="157">
        <f t="shared" si="4"/>
        <v>36729.620130325777</v>
      </c>
      <c r="K32" s="157">
        <f t="shared" si="4"/>
        <v>39580.019190356805</v>
      </c>
      <c r="L32" s="157">
        <f t="shared" si="4"/>
        <v>36729.620130325777</v>
      </c>
      <c r="M32" s="157">
        <f t="shared" si="4"/>
        <v>38431.967747911607</v>
      </c>
      <c r="N32" s="157">
        <f t="shared" si="4"/>
        <v>497105.60980155726</v>
      </c>
    </row>
    <row r="33" spans="1:14" x14ac:dyDescent="0.25">
      <c r="A33" s="149" t="s">
        <v>198</v>
      </c>
      <c r="B33" s="150">
        <f t="shared" ref="B33:N33" si="5">B5-B32</f>
        <v>-32826.243570294755</v>
      </c>
      <c r="C33" s="150">
        <f t="shared" si="5"/>
        <v>-35304.420600310266</v>
      </c>
      <c r="D33" s="150">
        <f t="shared" si="5"/>
        <v>-36729.620130325777</v>
      </c>
      <c r="E33" s="150">
        <f t="shared" si="5"/>
        <v>-38154.819660341294</v>
      </c>
      <c r="F33" s="150">
        <f t="shared" si="5"/>
        <v>-39580.019190356805</v>
      </c>
      <c r="G33" s="150">
        <f t="shared" si="5"/>
        <v>-35304.420600310266</v>
      </c>
      <c r="H33" s="150">
        <f t="shared" si="5"/>
        <v>-39580.019190356805</v>
      </c>
      <c r="I33" s="150">
        <f t="shared" si="5"/>
        <v>-38154.819660341294</v>
      </c>
      <c r="J33" s="150">
        <f t="shared" si="5"/>
        <v>-36729.620130325777</v>
      </c>
      <c r="K33" s="150">
        <f t="shared" si="5"/>
        <v>-39580.019190356805</v>
      </c>
      <c r="L33" s="150">
        <f t="shared" si="5"/>
        <v>-36729.620130325777</v>
      </c>
      <c r="M33" s="150">
        <f t="shared" si="5"/>
        <v>-38431.967747911607</v>
      </c>
      <c r="N33" s="150">
        <f t="shared" si="5"/>
        <v>-497105.60980155726</v>
      </c>
    </row>
    <row r="34" spans="1:14" x14ac:dyDescent="0.25">
      <c r="A34" s="151" t="s">
        <v>199</v>
      </c>
      <c r="B34" s="152"/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</row>
    <row r="35" spans="1:14" x14ac:dyDescent="0.25">
      <c r="A35" s="153" t="s">
        <v>202</v>
      </c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</row>
    <row r="36" spans="1:14" s="154" customFormat="1" ht="11.25" x14ac:dyDescent="0.2">
      <c r="A36" s="154" t="s">
        <v>332</v>
      </c>
      <c r="B36" s="155">
        <f>B46</f>
        <v>57650</v>
      </c>
      <c r="C36" s="155">
        <f t="shared" ref="C36:M36" si="6">C46</f>
        <v>54650</v>
      </c>
      <c r="D36" s="155">
        <f t="shared" si="6"/>
        <v>9650</v>
      </c>
      <c r="E36" s="155">
        <f t="shared" si="6"/>
        <v>9650</v>
      </c>
      <c r="F36" s="155">
        <f t="shared" si="6"/>
        <v>54650</v>
      </c>
      <c r="G36" s="155">
        <f t="shared" si="6"/>
        <v>9650</v>
      </c>
      <c r="H36" s="155">
        <f t="shared" si="6"/>
        <v>9650</v>
      </c>
      <c r="I36" s="155">
        <f t="shared" si="6"/>
        <v>54650</v>
      </c>
      <c r="J36" s="155">
        <f t="shared" si="6"/>
        <v>9650</v>
      </c>
      <c r="K36" s="155">
        <f t="shared" si="6"/>
        <v>9650</v>
      </c>
      <c r="L36" s="155">
        <f t="shared" si="6"/>
        <v>59650</v>
      </c>
      <c r="M36" s="155">
        <f t="shared" si="6"/>
        <v>9650</v>
      </c>
      <c r="N36" s="155">
        <f>SUM(B36:M36)</f>
        <v>348800</v>
      </c>
    </row>
    <row r="37" spans="1:14" x14ac:dyDescent="0.25">
      <c r="A37" s="154" t="s">
        <v>230</v>
      </c>
      <c r="B37" s="155">
        <v>0</v>
      </c>
      <c r="C37" s="155">
        <v>0</v>
      </c>
      <c r="D37" s="155">
        <v>10000</v>
      </c>
      <c r="E37" s="155">
        <v>0</v>
      </c>
      <c r="F37" s="155">
        <v>0</v>
      </c>
      <c r="G37" s="155">
        <v>0</v>
      </c>
      <c r="H37" s="155">
        <v>0</v>
      </c>
      <c r="I37" s="155">
        <v>0</v>
      </c>
      <c r="J37" s="155">
        <v>0</v>
      </c>
      <c r="K37" s="155">
        <v>0</v>
      </c>
      <c r="L37" s="155">
        <v>0</v>
      </c>
      <c r="M37" s="155">
        <v>0</v>
      </c>
      <c r="N37" s="155">
        <f>SUM(B37:M37)</f>
        <v>10000</v>
      </c>
    </row>
    <row r="38" spans="1:14" x14ac:dyDescent="0.25">
      <c r="A38" s="156" t="s">
        <v>203</v>
      </c>
      <c r="B38" s="157">
        <f t="shared" ref="B38:N39" si="7">SUM(B37)</f>
        <v>0</v>
      </c>
      <c r="C38" s="157">
        <f t="shared" si="7"/>
        <v>0</v>
      </c>
      <c r="D38" s="157">
        <f t="shared" si="7"/>
        <v>10000</v>
      </c>
      <c r="E38" s="157">
        <f t="shared" si="7"/>
        <v>0</v>
      </c>
      <c r="F38" s="157">
        <f t="shared" si="7"/>
        <v>0</v>
      </c>
      <c r="G38" s="157">
        <f t="shared" si="7"/>
        <v>0</v>
      </c>
      <c r="H38" s="157">
        <f t="shared" si="7"/>
        <v>0</v>
      </c>
      <c r="I38" s="157">
        <f t="shared" si="7"/>
        <v>0</v>
      </c>
      <c r="J38" s="157">
        <f t="shared" si="7"/>
        <v>0</v>
      </c>
      <c r="K38" s="157">
        <f t="shared" si="7"/>
        <v>0</v>
      </c>
      <c r="L38" s="157">
        <f t="shared" si="7"/>
        <v>0</v>
      </c>
      <c r="M38" s="157">
        <f t="shared" si="7"/>
        <v>0</v>
      </c>
      <c r="N38" s="157">
        <f>SUM(N36:N37)</f>
        <v>358800</v>
      </c>
    </row>
    <row r="39" spans="1:14" x14ac:dyDescent="0.25">
      <c r="A39" s="158" t="s">
        <v>206</v>
      </c>
      <c r="B39" s="157">
        <f t="shared" si="7"/>
        <v>0</v>
      </c>
      <c r="C39" s="157">
        <f t="shared" si="7"/>
        <v>0</v>
      </c>
      <c r="D39" s="157">
        <f t="shared" si="7"/>
        <v>10000</v>
      </c>
      <c r="E39" s="157">
        <f t="shared" si="7"/>
        <v>0</v>
      </c>
      <c r="F39" s="157">
        <f t="shared" si="7"/>
        <v>0</v>
      </c>
      <c r="G39" s="157">
        <f t="shared" si="7"/>
        <v>0</v>
      </c>
      <c r="H39" s="157">
        <f t="shared" si="7"/>
        <v>0</v>
      </c>
      <c r="I39" s="157">
        <f t="shared" si="7"/>
        <v>0</v>
      </c>
      <c r="J39" s="157">
        <f t="shared" si="7"/>
        <v>0</v>
      </c>
      <c r="K39" s="157">
        <f t="shared" si="7"/>
        <v>0</v>
      </c>
      <c r="L39" s="157">
        <f t="shared" si="7"/>
        <v>0</v>
      </c>
      <c r="M39" s="157">
        <f t="shared" si="7"/>
        <v>0</v>
      </c>
      <c r="N39" s="157">
        <f t="shared" si="7"/>
        <v>358800</v>
      </c>
    </row>
    <row r="40" spans="1:14" x14ac:dyDescent="0.25">
      <c r="A40" s="149" t="s">
        <v>31</v>
      </c>
      <c r="B40" s="150">
        <f t="shared" ref="B40:N40" si="8">B33+B39+0</f>
        <v>-32826.243570294755</v>
      </c>
      <c r="C40" s="150">
        <f t="shared" si="8"/>
        <v>-35304.420600310266</v>
      </c>
      <c r="D40" s="150">
        <f t="shared" si="8"/>
        <v>-26729.620130325777</v>
      </c>
      <c r="E40" s="150">
        <f t="shared" si="8"/>
        <v>-38154.819660341294</v>
      </c>
      <c r="F40" s="150">
        <f t="shared" si="8"/>
        <v>-39580.019190356805</v>
      </c>
      <c r="G40" s="150">
        <f t="shared" si="8"/>
        <v>-35304.420600310266</v>
      </c>
      <c r="H40" s="150">
        <f t="shared" si="8"/>
        <v>-39580.019190356805</v>
      </c>
      <c r="I40" s="150">
        <f t="shared" si="8"/>
        <v>-38154.819660341294</v>
      </c>
      <c r="J40" s="150">
        <f t="shared" si="8"/>
        <v>-36729.620130325777</v>
      </c>
      <c r="K40" s="150">
        <f t="shared" si="8"/>
        <v>-39580.019190356805</v>
      </c>
      <c r="L40" s="150">
        <f t="shared" si="8"/>
        <v>-36729.620130325777</v>
      </c>
      <c r="M40" s="150">
        <f t="shared" si="8"/>
        <v>-38431.967747911607</v>
      </c>
      <c r="N40" s="150">
        <f t="shared" si="8"/>
        <v>-138305.60980155726</v>
      </c>
    </row>
    <row r="42" spans="1:14" ht="16.5" thickBot="1" x14ac:dyDescent="0.3"/>
    <row r="43" spans="1:14" s="344" customFormat="1" x14ac:dyDescent="0.25">
      <c r="A43" s="341" t="s">
        <v>370</v>
      </c>
      <c r="B43" s="342"/>
      <c r="C43" s="342"/>
      <c r="D43" s="342"/>
      <c r="E43" s="342"/>
      <c r="F43" s="342"/>
      <c r="G43" s="342"/>
      <c r="H43" s="342"/>
      <c r="I43" s="342"/>
      <c r="J43" s="342"/>
      <c r="K43" s="342"/>
      <c r="L43" s="342"/>
      <c r="M43" s="342"/>
      <c r="N43" s="343"/>
    </row>
    <row r="44" spans="1:14" x14ac:dyDescent="0.25">
      <c r="A44" s="339" t="s">
        <v>371</v>
      </c>
      <c r="B44" s="155">
        <v>9650</v>
      </c>
      <c r="C44" s="155">
        <v>9650</v>
      </c>
      <c r="D44" s="155">
        <v>9650</v>
      </c>
      <c r="E44" s="155">
        <v>9650</v>
      </c>
      <c r="F44" s="155">
        <v>9650</v>
      </c>
      <c r="G44" s="155">
        <v>9650</v>
      </c>
      <c r="H44" s="155">
        <v>9650</v>
      </c>
      <c r="I44" s="155">
        <v>9650</v>
      </c>
      <c r="J44" s="155">
        <v>9650</v>
      </c>
      <c r="K44" s="155">
        <v>9650</v>
      </c>
      <c r="L44" s="155">
        <v>9650</v>
      </c>
      <c r="M44" s="155">
        <v>9650</v>
      </c>
      <c r="N44" s="340">
        <f>SUM(B44:M44)</f>
        <v>115800</v>
      </c>
    </row>
    <row r="45" spans="1:14" x14ac:dyDescent="0.25">
      <c r="A45" s="339" t="s">
        <v>372</v>
      </c>
      <c r="B45" s="155">
        <v>48000</v>
      </c>
      <c r="C45" s="155">
        <v>45000</v>
      </c>
      <c r="D45" s="155"/>
      <c r="E45" s="155"/>
      <c r="F45" s="155">
        <v>45000</v>
      </c>
      <c r="G45" s="155"/>
      <c r="H45" s="155"/>
      <c r="I45" s="155">
        <v>45000</v>
      </c>
      <c r="J45" s="155"/>
      <c r="K45" s="155"/>
      <c r="L45" s="155">
        <v>50000</v>
      </c>
      <c r="M45" s="155"/>
      <c r="N45" s="340">
        <f>SUM(B45:M45)</f>
        <v>233000</v>
      </c>
    </row>
    <row r="46" spans="1:14" s="344" customFormat="1" ht="16.5" thickBot="1" x14ac:dyDescent="0.3">
      <c r="A46" s="345"/>
      <c r="B46" s="346">
        <f>SUM(B44:B45)</f>
        <v>57650</v>
      </c>
      <c r="C46" s="346">
        <f t="shared" ref="C46:M46" si="9">SUM(C44:C45)</f>
        <v>54650</v>
      </c>
      <c r="D46" s="346">
        <f t="shared" si="9"/>
        <v>9650</v>
      </c>
      <c r="E46" s="346">
        <f t="shared" si="9"/>
        <v>9650</v>
      </c>
      <c r="F46" s="346">
        <f t="shared" si="9"/>
        <v>54650</v>
      </c>
      <c r="G46" s="346">
        <f t="shared" si="9"/>
        <v>9650</v>
      </c>
      <c r="H46" s="346">
        <f t="shared" si="9"/>
        <v>9650</v>
      </c>
      <c r="I46" s="346">
        <f t="shared" si="9"/>
        <v>54650</v>
      </c>
      <c r="J46" s="346">
        <f t="shared" si="9"/>
        <v>9650</v>
      </c>
      <c r="K46" s="346">
        <f t="shared" si="9"/>
        <v>9650</v>
      </c>
      <c r="L46" s="346">
        <f t="shared" si="9"/>
        <v>59650</v>
      </c>
      <c r="M46" s="346">
        <f t="shared" si="9"/>
        <v>9650</v>
      </c>
      <c r="N46" s="347">
        <f>SUM(N44:N45)</f>
        <v>348800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20DC9-F241-9948-BF74-6D54FE2E0CB3}">
  <sheetPr codeName="Sheet28">
    <tabColor rgb="FFFFFF00"/>
  </sheetPr>
  <dimension ref="A1:N36"/>
  <sheetViews>
    <sheetView zoomScaleNormal="100" workbookViewId="0">
      <pane xSplit="1" ySplit="7" topLeftCell="B18" activePane="bottomRight" state="frozen"/>
      <selection pane="topRight" activeCell="B28" sqref="B28:M32"/>
      <selection pane="bottomLeft" activeCell="B28" sqref="B28:M32"/>
      <selection pane="bottomRight" activeCell="Q33" sqref="Q33"/>
    </sheetView>
  </sheetViews>
  <sheetFormatPr defaultRowHeight="15.75" x14ac:dyDescent="0.25"/>
  <cols>
    <col min="1" max="1" width="49" bestFit="1" customWidth="1"/>
    <col min="2" max="13" width="8.125" bestFit="1" customWidth="1"/>
    <col min="14" max="14" width="8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116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s="159" customFormat="1" x14ac:dyDescent="0.25">
      <c r="A7" s="160" t="s">
        <v>190</v>
      </c>
      <c r="B7" s="161" t="s">
        <v>191</v>
      </c>
      <c r="C7" s="161" t="s">
        <v>191</v>
      </c>
      <c r="D7" s="161" t="s">
        <v>191</v>
      </c>
      <c r="E7" s="161" t="s">
        <v>191</v>
      </c>
      <c r="F7" s="161" t="s">
        <v>191</v>
      </c>
      <c r="G7" s="161" t="s">
        <v>191</v>
      </c>
      <c r="H7" s="161" t="s">
        <v>191</v>
      </c>
      <c r="I7" s="161" t="s">
        <v>191</v>
      </c>
      <c r="J7" s="161" t="s">
        <v>191</v>
      </c>
      <c r="K7" s="161" t="s">
        <v>191</v>
      </c>
      <c r="L7" s="161" t="s">
        <v>191</v>
      </c>
      <c r="M7" s="161" t="s">
        <v>191</v>
      </c>
      <c r="N7" s="161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365</v>
      </c>
      <c r="B11" s="155">
        <v>0</v>
      </c>
      <c r="C11" s="155">
        <v>200</v>
      </c>
      <c r="D11" s="155">
        <v>0</v>
      </c>
      <c r="E11" s="155">
        <v>0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f t="shared" ref="N11:N25" si="1">SUM(B11:M11)</f>
        <v>200</v>
      </c>
    </row>
    <row r="12" spans="1:14" x14ac:dyDescent="0.25">
      <c r="A12" s="154" t="s">
        <v>373</v>
      </c>
      <c r="B12" s="155">
        <v>100</v>
      </c>
      <c r="C12" s="155">
        <v>100</v>
      </c>
      <c r="D12" s="155">
        <v>100</v>
      </c>
      <c r="E12" s="155">
        <v>100</v>
      </c>
      <c r="F12" s="155">
        <v>100</v>
      </c>
      <c r="G12" s="155">
        <v>100</v>
      </c>
      <c r="H12" s="155">
        <v>100</v>
      </c>
      <c r="I12" s="155">
        <v>100</v>
      </c>
      <c r="J12" s="155">
        <v>100</v>
      </c>
      <c r="K12" s="155">
        <v>100</v>
      </c>
      <c r="L12" s="155">
        <v>100</v>
      </c>
      <c r="M12" s="155">
        <v>100</v>
      </c>
      <c r="N12" s="155">
        <f t="shared" si="1"/>
        <v>1200</v>
      </c>
    </row>
    <row r="13" spans="1:14" x14ac:dyDescent="0.25">
      <c r="A13" s="154" t="s">
        <v>374</v>
      </c>
      <c r="B13" s="155">
        <v>500</v>
      </c>
      <c r="C13" s="155">
        <v>2500</v>
      </c>
      <c r="D13" s="155">
        <v>2000</v>
      </c>
      <c r="E13" s="155">
        <v>2000</v>
      </c>
      <c r="F13" s="155">
        <v>2000</v>
      </c>
      <c r="G13" s="155">
        <v>1500</v>
      </c>
      <c r="H13" s="155">
        <v>1500</v>
      </c>
      <c r="I13" s="155">
        <v>1500</v>
      </c>
      <c r="J13" s="155">
        <v>1500</v>
      </c>
      <c r="K13" s="155">
        <v>1500</v>
      </c>
      <c r="L13" s="155">
        <v>1000</v>
      </c>
      <c r="M13" s="155">
        <v>1000</v>
      </c>
      <c r="N13" s="155">
        <f t="shared" si="1"/>
        <v>18500</v>
      </c>
    </row>
    <row r="14" spans="1:14" x14ac:dyDescent="0.25">
      <c r="A14" s="154" t="s">
        <v>344</v>
      </c>
      <c r="B14" s="155">
        <v>0</v>
      </c>
      <c r="C14" s="155">
        <v>500</v>
      </c>
      <c r="D14" s="155">
        <v>0</v>
      </c>
      <c r="E14" s="155">
        <v>0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500</v>
      </c>
    </row>
    <row r="15" spans="1:14" x14ac:dyDescent="0.25">
      <c r="A15" s="154" t="s">
        <v>353</v>
      </c>
      <c r="B15" s="155">
        <v>350</v>
      </c>
      <c r="C15" s="155">
        <v>350</v>
      </c>
      <c r="D15" s="155">
        <v>350</v>
      </c>
      <c r="E15" s="155">
        <v>350</v>
      </c>
      <c r="F15" s="155">
        <v>350</v>
      </c>
      <c r="G15" s="155">
        <v>350</v>
      </c>
      <c r="H15" s="155">
        <v>350</v>
      </c>
      <c r="I15" s="155">
        <v>350</v>
      </c>
      <c r="J15" s="155">
        <v>350</v>
      </c>
      <c r="K15" s="155">
        <v>350</v>
      </c>
      <c r="L15" s="155">
        <v>350</v>
      </c>
      <c r="M15" s="155">
        <v>350</v>
      </c>
      <c r="N15" s="155">
        <f t="shared" si="1"/>
        <v>4200</v>
      </c>
    </row>
    <row r="16" spans="1:14" x14ac:dyDescent="0.25">
      <c r="A16" s="154" t="s">
        <v>27</v>
      </c>
      <c r="B16" s="155">
        <v>100</v>
      </c>
      <c r="C16" s="155">
        <v>100</v>
      </c>
      <c r="D16" s="155">
        <v>100</v>
      </c>
      <c r="E16" s="155">
        <v>100</v>
      </c>
      <c r="F16" s="155">
        <v>100</v>
      </c>
      <c r="G16" s="155">
        <v>100</v>
      </c>
      <c r="H16" s="155">
        <v>100</v>
      </c>
      <c r="I16" s="155">
        <v>100</v>
      </c>
      <c r="J16" s="155">
        <v>100</v>
      </c>
      <c r="K16" s="155">
        <v>100</v>
      </c>
      <c r="L16" s="155">
        <v>100</v>
      </c>
      <c r="M16" s="155">
        <v>100</v>
      </c>
      <c r="N16" s="155">
        <f t="shared" si="1"/>
        <v>1200</v>
      </c>
    </row>
    <row r="17" spans="1:14" x14ac:dyDescent="0.25">
      <c r="A17" s="154" t="s">
        <v>212</v>
      </c>
      <c r="B17" s="155">
        <v>125</v>
      </c>
      <c r="C17" s="155">
        <v>125</v>
      </c>
      <c r="D17" s="155">
        <v>125</v>
      </c>
      <c r="E17" s="155">
        <v>125</v>
      </c>
      <c r="F17" s="155">
        <v>125</v>
      </c>
      <c r="G17" s="155">
        <v>125</v>
      </c>
      <c r="H17" s="155">
        <v>125</v>
      </c>
      <c r="I17" s="155">
        <v>125</v>
      </c>
      <c r="J17" s="155">
        <v>125</v>
      </c>
      <c r="K17" s="155">
        <v>125</v>
      </c>
      <c r="L17" s="155">
        <v>125</v>
      </c>
      <c r="M17" s="155">
        <v>125</v>
      </c>
      <c r="N17" s="155">
        <f t="shared" si="1"/>
        <v>1500</v>
      </c>
    </row>
    <row r="18" spans="1:14" x14ac:dyDescent="0.25">
      <c r="A18" s="154" t="s">
        <v>213</v>
      </c>
      <c r="B18" s="155">
        <v>130</v>
      </c>
      <c r="C18" s="155">
        <v>130</v>
      </c>
      <c r="D18" s="155">
        <v>130</v>
      </c>
      <c r="E18" s="155">
        <v>130</v>
      </c>
      <c r="F18" s="155">
        <v>130</v>
      </c>
      <c r="G18" s="155">
        <v>130</v>
      </c>
      <c r="H18" s="155">
        <v>130</v>
      </c>
      <c r="I18" s="155">
        <v>130</v>
      </c>
      <c r="J18" s="155">
        <v>130</v>
      </c>
      <c r="K18" s="155">
        <v>130</v>
      </c>
      <c r="L18" s="155">
        <v>130</v>
      </c>
      <c r="M18" s="155">
        <v>130</v>
      </c>
      <c r="N18" s="155">
        <f t="shared" si="1"/>
        <v>1560</v>
      </c>
    </row>
    <row r="19" spans="1:14" x14ac:dyDescent="0.25">
      <c r="A19" s="154" t="s">
        <v>369</v>
      </c>
      <c r="B19" s="155">
        <v>500</v>
      </c>
      <c r="C19" s="155">
        <v>500</v>
      </c>
      <c r="D19" s="155">
        <v>500</v>
      </c>
      <c r="E19" s="155">
        <v>500</v>
      </c>
      <c r="F19" s="155">
        <v>500</v>
      </c>
      <c r="G19" s="155">
        <v>500</v>
      </c>
      <c r="H19" s="155">
        <v>500</v>
      </c>
      <c r="I19" s="155">
        <v>500</v>
      </c>
      <c r="J19" s="155">
        <v>500</v>
      </c>
      <c r="K19" s="155">
        <v>500</v>
      </c>
      <c r="L19" s="155">
        <v>500</v>
      </c>
      <c r="M19" s="155">
        <v>500</v>
      </c>
      <c r="N19" s="155">
        <f t="shared" si="1"/>
        <v>6000</v>
      </c>
    </row>
    <row r="20" spans="1:14" x14ac:dyDescent="0.25">
      <c r="A20" s="154" t="s">
        <v>214</v>
      </c>
      <c r="B20" s="155">
        <v>100</v>
      </c>
      <c r="C20" s="155">
        <v>100</v>
      </c>
      <c r="D20" s="155">
        <v>100</v>
      </c>
      <c r="E20" s="155">
        <v>100</v>
      </c>
      <c r="F20" s="155">
        <v>100</v>
      </c>
      <c r="G20" s="155">
        <v>100</v>
      </c>
      <c r="H20" s="155">
        <v>100</v>
      </c>
      <c r="I20" s="155">
        <v>100</v>
      </c>
      <c r="J20" s="155">
        <v>100</v>
      </c>
      <c r="K20" s="155">
        <v>100</v>
      </c>
      <c r="L20" s="155">
        <v>100</v>
      </c>
      <c r="M20" s="155">
        <v>100</v>
      </c>
      <c r="N20" s="155">
        <f t="shared" si="1"/>
        <v>1200</v>
      </c>
    </row>
    <row r="21" spans="1:14" x14ac:dyDescent="0.25">
      <c r="A21" s="154" t="s">
        <v>264</v>
      </c>
      <c r="B21" s="155">
        <v>40</v>
      </c>
      <c r="C21" s="155">
        <v>40</v>
      </c>
      <c r="D21" s="155">
        <v>40</v>
      </c>
      <c r="E21" s="155">
        <v>40</v>
      </c>
      <c r="F21" s="155">
        <v>40</v>
      </c>
      <c r="G21" s="155">
        <v>40</v>
      </c>
      <c r="H21" s="155">
        <v>40</v>
      </c>
      <c r="I21" s="155">
        <v>40</v>
      </c>
      <c r="J21" s="155">
        <v>40</v>
      </c>
      <c r="K21" s="155">
        <v>40</v>
      </c>
      <c r="L21" s="155">
        <v>40</v>
      </c>
      <c r="M21" s="155">
        <v>40</v>
      </c>
      <c r="N21" s="155">
        <f t="shared" si="1"/>
        <v>480</v>
      </c>
    </row>
    <row r="22" spans="1:14" x14ac:dyDescent="0.25">
      <c r="A22" s="154" t="s">
        <v>267</v>
      </c>
      <c r="B22" s="155">
        <v>100</v>
      </c>
      <c r="C22" s="155">
        <v>100</v>
      </c>
      <c r="D22" s="155">
        <v>100</v>
      </c>
      <c r="E22" s="155">
        <v>100</v>
      </c>
      <c r="F22" s="155">
        <v>100</v>
      </c>
      <c r="G22" s="155">
        <v>100</v>
      </c>
      <c r="H22" s="155">
        <v>100</v>
      </c>
      <c r="I22" s="155">
        <v>100</v>
      </c>
      <c r="J22" s="155">
        <v>100</v>
      </c>
      <c r="K22" s="155">
        <v>100</v>
      </c>
      <c r="L22" s="155">
        <v>100</v>
      </c>
      <c r="M22" s="155">
        <v>100</v>
      </c>
      <c r="N22" s="155">
        <f t="shared" si="1"/>
        <v>1200</v>
      </c>
    </row>
    <row r="23" spans="1:14" x14ac:dyDescent="0.25">
      <c r="A23" s="217" t="s">
        <v>270</v>
      </c>
      <c r="B23" s="155">
        <v>110</v>
      </c>
      <c r="C23" s="155">
        <v>110</v>
      </c>
      <c r="D23" s="155">
        <v>110</v>
      </c>
      <c r="E23" s="155">
        <v>110</v>
      </c>
      <c r="F23" s="155">
        <v>110</v>
      </c>
      <c r="G23" s="155">
        <v>110</v>
      </c>
      <c r="H23" s="155">
        <v>110</v>
      </c>
      <c r="I23" s="155">
        <v>110</v>
      </c>
      <c r="J23" s="155">
        <v>110</v>
      </c>
      <c r="K23" s="155">
        <v>110</v>
      </c>
      <c r="L23" s="155">
        <v>110</v>
      </c>
      <c r="M23" s="155">
        <v>110</v>
      </c>
      <c r="N23" s="155">
        <f t="shared" si="1"/>
        <v>1320</v>
      </c>
    </row>
    <row r="24" spans="1:14" x14ac:dyDescent="0.25">
      <c r="A24" s="154" t="s">
        <v>275</v>
      </c>
      <c r="B24" s="218">
        <v>251.23</v>
      </c>
      <c r="C24" s="218">
        <v>251.23</v>
      </c>
      <c r="D24" s="218">
        <v>251.23</v>
      </c>
      <c r="E24" s="218">
        <v>251.23</v>
      </c>
      <c r="F24" s="218">
        <v>251.23</v>
      </c>
      <c r="G24" s="218">
        <v>251.23</v>
      </c>
      <c r="H24" s="218">
        <v>251.23</v>
      </c>
      <c r="I24" s="218">
        <v>251.23</v>
      </c>
      <c r="J24" s="218">
        <v>251.23</v>
      </c>
      <c r="K24" s="218">
        <v>251.23</v>
      </c>
      <c r="L24" s="218">
        <v>251.23</v>
      </c>
      <c r="M24" s="218">
        <v>251.23</v>
      </c>
      <c r="N24" s="155">
        <f t="shared" si="1"/>
        <v>3014.7599999999998</v>
      </c>
    </row>
    <row r="25" spans="1:14" x14ac:dyDescent="0.25">
      <c r="A25" s="217" t="s">
        <v>375</v>
      </c>
      <c r="B25" s="218">
        <v>0</v>
      </c>
      <c r="C25" s="218">
        <v>0</v>
      </c>
      <c r="D25" s="218">
        <v>0</v>
      </c>
      <c r="E25" s="218">
        <v>0</v>
      </c>
      <c r="F25" s="218">
        <v>0</v>
      </c>
      <c r="G25" s="218">
        <v>0</v>
      </c>
      <c r="H25" s="218">
        <v>0</v>
      </c>
      <c r="I25" s="218">
        <v>0</v>
      </c>
      <c r="J25" s="218">
        <v>0</v>
      </c>
      <c r="K25" s="218">
        <v>0</v>
      </c>
      <c r="L25" s="218">
        <v>0</v>
      </c>
      <c r="M25" s="218">
        <v>0</v>
      </c>
      <c r="N25" s="155">
        <f t="shared" si="1"/>
        <v>0</v>
      </c>
    </row>
    <row r="26" spans="1:14" x14ac:dyDescent="0.25">
      <c r="A26" s="156" t="s">
        <v>196</v>
      </c>
      <c r="B26" s="157">
        <f t="shared" ref="B26:N26" si="2">SUM(B11:B25)</f>
        <v>2406.23</v>
      </c>
      <c r="C26" s="157">
        <f t="shared" si="2"/>
        <v>5106.2299999999996</v>
      </c>
      <c r="D26" s="157">
        <f t="shared" si="2"/>
        <v>3906.23</v>
      </c>
      <c r="E26" s="157">
        <f t="shared" si="2"/>
        <v>3906.23</v>
      </c>
      <c r="F26" s="157">
        <f t="shared" si="2"/>
        <v>3906.23</v>
      </c>
      <c r="G26" s="157">
        <f t="shared" si="2"/>
        <v>3406.23</v>
      </c>
      <c r="H26" s="157">
        <f t="shared" si="2"/>
        <v>3406.23</v>
      </c>
      <c r="I26" s="157">
        <f t="shared" si="2"/>
        <v>3406.23</v>
      </c>
      <c r="J26" s="157">
        <f t="shared" si="2"/>
        <v>3406.23</v>
      </c>
      <c r="K26" s="157">
        <f t="shared" si="2"/>
        <v>3406.23</v>
      </c>
      <c r="L26" s="157">
        <f t="shared" si="2"/>
        <v>2906.23</v>
      </c>
      <c r="M26" s="157">
        <f t="shared" si="2"/>
        <v>2906.23</v>
      </c>
      <c r="N26" s="157">
        <f t="shared" si="2"/>
        <v>42074.76</v>
      </c>
    </row>
    <row r="27" spans="1:14" x14ac:dyDescent="0.25">
      <c r="A27" s="153" t="s">
        <v>222</v>
      </c>
      <c r="B27" s="152"/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52"/>
      <c r="N27" s="152"/>
    </row>
    <row r="28" spans="1:14" x14ac:dyDescent="0.25">
      <c r="A28" s="154" t="s">
        <v>223</v>
      </c>
      <c r="B28" s="155">
        <v>30924.49</v>
      </c>
      <c r="C28" s="155">
        <v>32552.09</v>
      </c>
      <c r="D28" s="155">
        <v>34179.699999999997</v>
      </c>
      <c r="E28" s="155">
        <v>35807.300000000003</v>
      </c>
      <c r="F28" s="155">
        <v>37434.910000000003</v>
      </c>
      <c r="G28" s="155">
        <v>32552.09</v>
      </c>
      <c r="H28" s="155">
        <v>37434.910000000003</v>
      </c>
      <c r="I28" s="155">
        <v>35807.300000000003</v>
      </c>
      <c r="J28" s="155">
        <v>34179.699999999997</v>
      </c>
      <c r="K28" s="155">
        <v>37434.910000000003</v>
      </c>
      <c r="L28" s="155">
        <v>34179.699999999997</v>
      </c>
      <c r="M28" s="155">
        <v>41323.07</v>
      </c>
      <c r="N28" s="155">
        <f t="shared" ref="N28:N32" si="3">SUM(B28:M28)</f>
        <v>423810.17000000004</v>
      </c>
    </row>
    <row r="29" spans="1:14" x14ac:dyDescent="0.25">
      <c r="A29" s="154" t="s">
        <v>224</v>
      </c>
      <c r="B29" s="155">
        <v>5466.57</v>
      </c>
      <c r="C29" s="155">
        <v>5754.29</v>
      </c>
      <c r="D29" s="155">
        <v>6042</v>
      </c>
      <c r="E29" s="155">
        <v>6329.72</v>
      </c>
      <c r="F29" s="155">
        <v>6617.43</v>
      </c>
      <c r="G29" s="155">
        <v>5754.29</v>
      </c>
      <c r="H29" s="155">
        <v>6617.43</v>
      </c>
      <c r="I29" s="155">
        <v>6329.72</v>
      </c>
      <c r="J29" s="155">
        <v>6042</v>
      </c>
      <c r="K29" s="155">
        <v>6617.43</v>
      </c>
      <c r="L29" s="155">
        <v>6042</v>
      </c>
      <c r="M29" s="155">
        <v>6329.72</v>
      </c>
      <c r="N29" s="155">
        <f t="shared" si="3"/>
        <v>73942.600000000006</v>
      </c>
    </row>
    <row r="30" spans="1:14" x14ac:dyDescent="0.25">
      <c r="A30" s="154" t="s">
        <v>225</v>
      </c>
      <c r="B30" s="155">
        <v>327.68</v>
      </c>
      <c r="C30" s="155">
        <v>344.93</v>
      </c>
      <c r="D30" s="155">
        <v>362.17</v>
      </c>
      <c r="E30" s="155">
        <v>379.42</v>
      </c>
      <c r="F30" s="155">
        <v>396.67</v>
      </c>
      <c r="G30" s="155">
        <v>344.93</v>
      </c>
      <c r="H30" s="155">
        <v>396.67</v>
      </c>
      <c r="I30" s="155">
        <v>379.42</v>
      </c>
      <c r="J30" s="155">
        <v>362.17</v>
      </c>
      <c r="K30" s="155">
        <v>396.67</v>
      </c>
      <c r="L30" s="155">
        <v>362.17</v>
      </c>
      <c r="M30" s="155">
        <v>379.42</v>
      </c>
      <c r="N30" s="155">
        <f t="shared" si="3"/>
        <v>4432.3200000000006</v>
      </c>
    </row>
    <row r="31" spans="1:14" x14ac:dyDescent="0.25">
      <c r="A31" s="154" t="s">
        <v>226</v>
      </c>
      <c r="B31" s="155">
        <v>3429.48</v>
      </c>
      <c r="C31" s="155">
        <v>2942.13</v>
      </c>
      <c r="D31" s="155">
        <v>3089.24</v>
      </c>
      <c r="E31" s="155">
        <v>3236.34</v>
      </c>
      <c r="F31" s="155">
        <v>3383.45</v>
      </c>
      <c r="G31" s="155">
        <v>2942.13</v>
      </c>
      <c r="H31" s="155">
        <v>3383.45</v>
      </c>
      <c r="I31" s="155">
        <v>3236.34</v>
      </c>
      <c r="J31" s="155">
        <v>3089.24</v>
      </c>
      <c r="K31" s="155">
        <v>3383.45</v>
      </c>
      <c r="L31" s="155">
        <v>3089.24</v>
      </c>
      <c r="M31" s="155">
        <v>3236.34</v>
      </c>
      <c r="N31" s="155">
        <f t="shared" si="3"/>
        <v>38440.83</v>
      </c>
    </row>
    <row r="32" spans="1:14" x14ac:dyDescent="0.25">
      <c r="A32" s="154" t="s">
        <v>227</v>
      </c>
      <c r="B32" s="155">
        <v>1503.6</v>
      </c>
      <c r="C32" s="155">
        <v>813.8</v>
      </c>
      <c r="D32" s="155">
        <v>854.49</v>
      </c>
      <c r="E32" s="155">
        <v>895.18</v>
      </c>
      <c r="F32" s="155">
        <v>935.87</v>
      </c>
      <c r="G32" s="155">
        <v>813.8</v>
      </c>
      <c r="H32" s="155">
        <v>935.87</v>
      </c>
      <c r="I32" s="155">
        <v>895.18</v>
      </c>
      <c r="J32" s="155">
        <v>854.49</v>
      </c>
      <c r="K32" s="155">
        <v>935.87</v>
      </c>
      <c r="L32" s="155">
        <v>854.49</v>
      </c>
      <c r="M32" s="155">
        <v>895.18</v>
      </c>
      <c r="N32" s="155">
        <f t="shared" si="3"/>
        <v>11187.820000000002</v>
      </c>
    </row>
    <row r="33" spans="1:14" x14ac:dyDescent="0.25">
      <c r="A33" s="156" t="s">
        <v>228</v>
      </c>
      <c r="B33" s="157">
        <f t="shared" ref="B33:N33" si="4">SUM(B28:B32)</f>
        <v>41651.82</v>
      </c>
      <c r="C33" s="157">
        <f t="shared" si="4"/>
        <v>42407.24</v>
      </c>
      <c r="D33" s="157">
        <f t="shared" si="4"/>
        <v>44527.599999999991</v>
      </c>
      <c r="E33" s="157">
        <f t="shared" si="4"/>
        <v>46647.96</v>
      </c>
      <c r="F33" s="157">
        <f t="shared" si="4"/>
        <v>48768.33</v>
      </c>
      <c r="G33" s="157">
        <f t="shared" si="4"/>
        <v>42407.24</v>
      </c>
      <c r="H33" s="157">
        <f t="shared" si="4"/>
        <v>48768.33</v>
      </c>
      <c r="I33" s="157">
        <f t="shared" si="4"/>
        <v>46647.96</v>
      </c>
      <c r="J33" s="157">
        <f t="shared" si="4"/>
        <v>44527.599999999991</v>
      </c>
      <c r="K33" s="157">
        <f t="shared" si="4"/>
        <v>48768.33</v>
      </c>
      <c r="L33" s="157">
        <f t="shared" si="4"/>
        <v>44527.599999999991</v>
      </c>
      <c r="M33" s="157">
        <f t="shared" si="4"/>
        <v>52163.73</v>
      </c>
      <c r="N33" s="157">
        <f t="shared" si="4"/>
        <v>551813.74</v>
      </c>
    </row>
    <row r="34" spans="1:14" x14ac:dyDescent="0.25">
      <c r="A34" s="158" t="s">
        <v>197</v>
      </c>
      <c r="B34" s="157">
        <f t="shared" ref="B34:N34" si="5">SUM(B26,B33)</f>
        <v>44058.05</v>
      </c>
      <c r="C34" s="157">
        <f t="shared" si="5"/>
        <v>47513.47</v>
      </c>
      <c r="D34" s="157">
        <f t="shared" si="5"/>
        <v>48433.829999999994</v>
      </c>
      <c r="E34" s="157">
        <f t="shared" si="5"/>
        <v>50554.19</v>
      </c>
      <c r="F34" s="157">
        <f t="shared" si="5"/>
        <v>52674.560000000005</v>
      </c>
      <c r="G34" s="157">
        <f t="shared" si="5"/>
        <v>45813.47</v>
      </c>
      <c r="H34" s="157">
        <f t="shared" si="5"/>
        <v>52174.560000000005</v>
      </c>
      <c r="I34" s="157">
        <f t="shared" si="5"/>
        <v>50054.19</v>
      </c>
      <c r="J34" s="157">
        <f t="shared" si="5"/>
        <v>47933.829999999994</v>
      </c>
      <c r="K34" s="157">
        <f t="shared" si="5"/>
        <v>52174.560000000005</v>
      </c>
      <c r="L34" s="157">
        <f t="shared" si="5"/>
        <v>47433.829999999994</v>
      </c>
      <c r="M34" s="157">
        <f t="shared" si="5"/>
        <v>55069.960000000006</v>
      </c>
      <c r="N34" s="157">
        <f t="shared" si="5"/>
        <v>593888.5</v>
      </c>
    </row>
    <row r="35" spans="1:14" x14ac:dyDescent="0.25">
      <c r="A35" s="149" t="s">
        <v>198</v>
      </c>
      <c r="B35" s="150">
        <f t="shared" ref="B35:N35" si="6">B8-B34</f>
        <v>-44058.05</v>
      </c>
      <c r="C35" s="150">
        <f t="shared" si="6"/>
        <v>-47513.47</v>
      </c>
      <c r="D35" s="150">
        <f t="shared" si="6"/>
        <v>-48433.829999999994</v>
      </c>
      <c r="E35" s="150">
        <f t="shared" si="6"/>
        <v>-50554.19</v>
      </c>
      <c r="F35" s="150">
        <f t="shared" si="6"/>
        <v>-52674.560000000005</v>
      </c>
      <c r="G35" s="150">
        <f t="shared" si="6"/>
        <v>-45813.47</v>
      </c>
      <c r="H35" s="150">
        <f t="shared" si="6"/>
        <v>-52174.560000000005</v>
      </c>
      <c r="I35" s="150">
        <f t="shared" si="6"/>
        <v>-50054.19</v>
      </c>
      <c r="J35" s="150">
        <f t="shared" si="6"/>
        <v>-47933.829999999994</v>
      </c>
      <c r="K35" s="150">
        <f t="shared" si="6"/>
        <v>-52174.560000000005</v>
      </c>
      <c r="L35" s="150">
        <f t="shared" si="6"/>
        <v>-47433.829999999994</v>
      </c>
      <c r="M35" s="150">
        <f t="shared" si="6"/>
        <v>-55069.960000000006</v>
      </c>
      <c r="N35" s="150">
        <f t="shared" si="6"/>
        <v>-593888.5</v>
      </c>
    </row>
    <row r="36" spans="1:14" x14ac:dyDescent="0.25">
      <c r="A36" s="149" t="s">
        <v>31</v>
      </c>
      <c r="B36" s="150">
        <f t="shared" ref="B36:N36" si="7">B35+0+0</f>
        <v>-44058.05</v>
      </c>
      <c r="C36" s="150">
        <f t="shared" si="7"/>
        <v>-47513.47</v>
      </c>
      <c r="D36" s="150">
        <f t="shared" si="7"/>
        <v>-48433.829999999994</v>
      </c>
      <c r="E36" s="150">
        <f t="shared" si="7"/>
        <v>-50554.19</v>
      </c>
      <c r="F36" s="150">
        <f t="shared" si="7"/>
        <v>-52674.560000000005</v>
      </c>
      <c r="G36" s="150">
        <f t="shared" si="7"/>
        <v>-45813.47</v>
      </c>
      <c r="H36" s="150">
        <f t="shared" si="7"/>
        <v>-52174.560000000005</v>
      </c>
      <c r="I36" s="150">
        <f t="shared" si="7"/>
        <v>-50054.19</v>
      </c>
      <c r="J36" s="150">
        <f t="shared" si="7"/>
        <v>-47933.829999999994</v>
      </c>
      <c r="K36" s="150">
        <f t="shared" si="7"/>
        <v>-52174.560000000005</v>
      </c>
      <c r="L36" s="150">
        <f t="shared" si="7"/>
        <v>-47433.829999999994</v>
      </c>
      <c r="M36" s="150">
        <f t="shared" si="7"/>
        <v>-55069.960000000006</v>
      </c>
      <c r="N36" s="150">
        <f t="shared" si="7"/>
        <v>-593888.5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D4C1F-D625-8F48-974F-7355A1C69D02}">
  <sheetPr codeName="Sheet29">
    <tabColor rgb="FFFFFF00"/>
  </sheetPr>
  <dimension ref="A1:R56"/>
  <sheetViews>
    <sheetView topLeftCell="A8" zoomScaleNormal="100" workbookViewId="0">
      <selection activeCell="S32" sqref="S32"/>
    </sheetView>
  </sheetViews>
  <sheetFormatPr defaultRowHeight="15.75" x14ac:dyDescent="0.25"/>
  <cols>
    <col min="1" max="1" width="49" bestFit="1" customWidth="1"/>
    <col min="2" max="2" width="8.125" customWidth="1"/>
    <col min="3" max="3" width="8.875" customWidth="1"/>
    <col min="4" max="13" width="8.125" customWidth="1"/>
    <col min="14" max="14" width="8.875" bestFit="1" customWidth="1"/>
    <col min="15" max="15" width="10.875" hidden="1" customWidth="1"/>
    <col min="16" max="16" width="9.875" hidden="1" customWidth="1"/>
    <col min="17" max="17" width="10.5" hidden="1" customWidth="1"/>
    <col min="18" max="18" width="9" style="215"/>
    <col min="19" max="19" width="8.25" bestFit="1" customWidth="1"/>
  </cols>
  <sheetData>
    <row r="1" spans="1:18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8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8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8" ht="18" x14ac:dyDescent="0.25">
      <c r="A4" s="365" t="s">
        <v>118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8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8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/>
    </row>
    <row r="7" spans="1:18" s="159" customFormat="1" ht="14.25" customHeight="1" x14ac:dyDescent="0.25">
      <c r="A7" s="160" t="s">
        <v>190</v>
      </c>
      <c r="B7" s="161" t="s">
        <v>191</v>
      </c>
      <c r="C7" s="161" t="s">
        <v>191</v>
      </c>
      <c r="D7" s="161" t="s">
        <v>191</v>
      </c>
      <c r="E7" s="161" t="s">
        <v>191</v>
      </c>
      <c r="F7" s="161" t="s">
        <v>191</v>
      </c>
      <c r="G7" s="161" t="s">
        <v>191</v>
      </c>
      <c r="H7" s="161" t="s">
        <v>191</v>
      </c>
      <c r="I7" s="161" t="s">
        <v>191</v>
      </c>
      <c r="J7" s="161" t="s">
        <v>191</v>
      </c>
      <c r="K7" s="161" t="s">
        <v>191</v>
      </c>
      <c r="L7" s="161" t="s">
        <v>191</v>
      </c>
      <c r="M7" s="161" t="s">
        <v>191</v>
      </c>
      <c r="N7" s="161" t="s">
        <v>49</v>
      </c>
      <c r="O7" s="258" t="s">
        <v>301</v>
      </c>
      <c r="P7" s="258" t="s">
        <v>376</v>
      </c>
      <c r="Q7" s="258" t="s">
        <v>377</v>
      </c>
      <c r="R7" s="259"/>
    </row>
    <row r="8" spans="1:18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8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8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8" x14ac:dyDescent="0.25">
      <c r="A11" s="219" t="s">
        <v>365</v>
      </c>
      <c r="B11" s="220">
        <v>0</v>
      </c>
      <c r="C11" s="220">
        <v>4500</v>
      </c>
      <c r="D11" s="220">
        <v>0</v>
      </c>
      <c r="E11" s="220">
        <v>0</v>
      </c>
      <c r="F11" s="220">
        <v>0</v>
      </c>
      <c r="G11" s="220">
        <v>0</v>
      </c>
      <c r="H11" s="220">
        <v>13500</v>
      </c>
      <c r="I11" s="220">
        <v>0</v>
      </c>
      <c r="J11" s="220">
        <v>0</v>
      </c>
      <c r="K11" s="220">
        <v>0</v>
      </c>
      <c r="L11" s="220">
        <v>0</v>
      </c>
      <c r="M11" s="220">
        <v>0</v>
      </c>
      <c r="N11" s="220">
        <f t="shared" ref="N11:N26" si="1">SUM(B11:M11)</f>
        <v>18000</v>
      </c>
      <c r="O11" s="155">
        <v>10000</v>
      </c>
      <c r="P11" s="163">
        <f>N11-O11</f>
        <v>8000</v>
      </c>
      <c r="Q11" s="155">
        <v>8000</v>
      </c>
    </row>
    <row r="12" spans="1:18" x14ac:dyDescent="0.25">
      <c r="A12" s="219" t="s">
        <v>378</v>
      </c>
      <c r="B12" s="220">
        <v>0</v>
      </c>
      <c r="C12" s="220">
        <v>5000</v>
      </c>
      <c r="D12" s="220">
        <v>28500</v>
      </c>
      <c r="E12" s="220">
        <v>1500</v>
      </c>
      <c r="F12" s="220">
        <v>0</v>
      </c>
      <c r="G12" s="220">
        <v>0</v>
      </c>
      <c r="H12" s="220">
        <v>0</v>
      </c>
      <c r="I12" s="220">
        <v>0</v>
      </c>
      <c r="J12" s="220">
        <v>0</v>
      </c>
      <c r="K12" s="220">
        <v>0</v>
      </c>
      <c r="L12" s="220">
        <v>0</v>
      </c>
      <c r="M12" s="220">
        <v>0</v>
      </c>
      <c r="N12" s="220">
        <f t="shared" si="1"/>
        <v>35000</v>
      </c>
      <c r="O12" s="155">
        <v>35000</v>
      </c>
      <c r="P12" s="163">
        <f t="shared" ref="P12:P45" si="2">N12-O12</f>
        <v>0</v>
      </c>
      <c r="Q12" s="155">
        <v>35000</v>
      </c>
    </row>
    <row r="13" spans="1:18" x14ac:dyDescent="0.25">
      <c r="A13" s="219" t="s">
        <v>379</v>
      </c>
      <c r="B13" s="220">
        <v>0</v>
      </c>
      <c r="C13" s="220">
        <v>0</v>
      </c>
      <c r="D13" s="220">
        <v>0</v>
      </c>
      <c r="E13" s="220">
        <v>0</v>
      </c>
      <c r="F13" s="220">
        <v>0</v>
      </c>
      <c r="G13" s="220">
        <v>0</v>
      </c>
      <c r="H13" s="220">
        <v>0</v>
      </c>
      <c r="I13" s="220">
        <v>0</v>
      </c>
      <c r="J13" s="220">
        <v>5000</v>
      </c>
      <c r="K13" s="220">
        <v>32000</v>
      </c>
      <c r="L13" s="220">
        <v>0</v>
      </c>
      <c r="M13" s="220">
        <v>0</v>
      </c>
      <c r="N13" s="220">
        <f t="shared" si="1"/>
        <v>37000</v>
      </c>
      <c r="O13" s="155">
        <v>37000</v>
      </c>
      <c r="P13" s="163">
        <f t="shared" si="2"/>
        <v>0</v>
      </c>
      <c r="Q13" s="155">
        <v>37000</v>
      </c>
    </row>
    <row r="14" spans="1:18" x14ac:dyDescent="0.25">
      <c r="A14" s="219" t="s">
        <v>344</v>
      </c>
      <c r="B14" s="220">
        <v>5000</v>
      </c>
      <c r="C14" s="220">
        <v>60000</v>
      </c>
      <c r="D14" s="220">
        <v>0</v>
      </c>
      <c r="E14" s="220">
        <v>0</v>
      </c>
      <c r="F14" s="220">
        <v>0</v>
      </c>
      <c r="G14" s="220">
        <v>0</v>
      </c>
      <c r="H14" s="220">
        <v>0</v>
      </c>
      <c r="I14" s="220">
        <v>0</v>
      </c>
      <c r="J14" s="220">
        <v>0</v>
      </c>
      <c r="K14" s="220">
        <v>0</v>
      </c>
      <c r="L14" s="220">
        <v>0</v>
      </c>
      <c r="M14" s="220">
        <v>0</v>
      </c>
      <c r="N14" s="220">
        <f t="shared" si="1"/>
        <v>65000</v>
      </c>
      <c r="O14" s="155">
        <v>65000</v>
      </c>
      <c r="P14" s="163">
        <f t="shared" si="2"/>
        <v>0</v>
      </c>
      <c r="Q14" s="155">
        <v>65000</v>
      </c>
    </row>
    <row r="15" spans="1:18" x14ac:dyDescent="0.25">
      <c r="A15" s="219" t="s">
        <v>353</v>
      </c>
      <c r="B15" s="220">
        <v>1000</v>
      </c>
      <c r="C15" s="220">
        <v>0</v>
      </c>
      <c r="D15" s="220">
        <v>1000</v>
      </c>
      <c r="E15" s="220">
        <v>1000</v>
      </c>
      <c r="F15" s="220">
        <v>1000</v>
      </c>
      <c r="G15" s="220">
        <v>1000</v>
      </c>
      <c r="H15" s="220">
        <v>1000</v>
      </c>
      <c r="I15" s="220">
        <v>1000</v>
      </c>
      <c r="J15" s="220">
        <v>1000</v>
      </c>
      <c r="K15" s="220">
        <v>1000</v>
      </c>
      <c r="L15" s="220">
        <v>2000</v>
      </c>
      <c r="M15" s="220">
        <v>0</v>
      </c>
      <c r="N15" s="220">
        <f t="shared" si="1"/>
        <v>11000</v>
      </c>
      <c r="O15" s="155">
        <v>9000</v>
      </c>
      <c r="P15" s="163">
        <f t="shared" si="2"/>
        <v>2000</v>
      </c>
      <c r="Q15" s="155">
        <v>11000</v>
      </c>
    </row>
    <row r="16" spans="1:18" x14ac:dyDescent="0.25">
      <c r="A16" s="219" t="s">
        <v>380</v>
      </c>
      <c r="B16" s="220">
        <v>0</v>
      </c>
      <c r="C16" s="220">
        <v>0</v>
      </c>
      <c r="D16" s="220">
        <v>0</v>
      </c>
      <c r="E16" s="220">
        <v>0</v>
      </c>
      <c r="F16" s="220">
        <v>0</v>
      </c>
      <c r="G16" s="220">
        <v>6250</v>
      </c>
      <c r="H16" s="220">
        <v>0</v>
      </c>
      <c r="I16" s="220">
        <v>0</v>
      </c>
      <c r="J16" s="220">
        <v>0</v>
      </c>
      <c r="K16" s="220">
        <v>0</v>
      </c>
      <c r="L16" s="220">
        <v>6250</v>
      </c>
      <c r="M16" s="220">
        <v>0</v>
      </c>
      <c r="N16" s="220">
        <f t="shared" si="1"/>
        <v>12500</v>
      </c>
      <c r="O16" s="155">
        <v>10000</v>
      </c>
      <c r="P16" s="163">
        <f t="shared" si="2"/>
        <v>2500</v>
      </c>
      <c r="Q16" s="155">
        <v>12500</v>
      </c>
    </row>
    <row r="17" spans="1:17" x14ac:dyDescent="0.25">
      <c r="A17" s="219" t="s">
        <v>381</v>
      </c>
      <c r="B17" s="220">
        <v>0</v>
      </c>
      <c r="C17" s="220">
        <v>0</v>
      </c>
      <c r="D17" s="220">
        <v>0</v>
      </c>
      <c r="E17" s="220">
        <v>0</v>
      </c>
      <c r="F17" s="220">
        <v>0</v>
      </c>
      <c r="G17" s="220">
        <v>0</v>
      </c>
      <c r="H17" s="220">
        <v>0</v>
      </c>
      <c r="I17" s="220">
        <v>0</v>
      </c>
      <c r="J17" s="220">
        <v>0</v>
      </c>
      <c r="K17" s="220">
        <v>0</v>
      </c>
      <c r="L17" s="220">
        <v>0</v>
      </c>
      <c r="M17" s="220">
        <v>0</v>
      </c>
      <c r="N17" s="220">
        <f t="shared" si="1"/>
        <v>0</v>
      </c>
      <c r="O17" s="155">
        <v>5000</v>
      </c>
      <c r="P17" s="163">
        <f t="shared" si="2"/>
        <v>-5000</v>
      </c>
      <c r="Q17" s="155">
        <v>5000</v>
      </c>
    </row>
    <row r="18" spans="1:17" x14ac:dyDescent="0.25">
      <c r="A18" s="154" t="s">
        <v>212</v>
      </c>
      <c r="B18" s="155">
        <v>30</v>
      </c>
      <c r="C18" s="155">
        <v>30</v>
      </c>
      <c r="D18" s="155">
        <v>30</v>
      </c>
      <c r="E18" s="155">
        <v>30</v>
      </c>
      <c r="F18" s="155">
        <v>30</v>
      </c>
      <c r="G18" s="155">
        <v>30</v>
      </c>
      <c r="H18" s="155">
        <v>30</v>
      </c>
      <c r="I18" s="155">
        <v>30</v>
      </c>
      <c r="J18" s="155">
        <v>30</v>
      </c>
      <c r="K18" s="155">
        <v>30</v>
      </c>
      <c r="L18" s="155">
        <v>30</v>
      </c>
      <c r="M18" s="155">
        <v>30</v>
      </c>
      <c r="N18" s="155">
        <f t="shared" si="1"/>
        <v>360</v>
      </c>
      <c r="O18" s="155">
        <v>1200</v>
      </c>
      <c r="P18" s="163">
        <f t="shared" si="2"/>
        <v>-840</v>
      </c>
      <c r="Q18" s="155">
        <v>1200</v>
      </c>
    </row>
    <row r="19" spans="1:17" x14ac:dyDescent="0.25">
      <c r="A19" s="154" t="s">
        <v>213</v>
      </c>
      <c r="B19" s="155">
        <v>45</v>
      </c>
      <c r="C19" s="155">
        <v>45</v>
      </c>
      <c r="D19" s="155">
        <v>45</v>
      </c>
      <c r="E19" s="155">
        <v>45</v>
      </c>
      <c r="F19" s="155">
        <v>45</v>
      </c>
      <c r="G19" s="155">
        <v>45</v>
      </c>
      <c r="H19" s="155">
        <v>45</v>
      </c>
      <c r="I19" s="155">
        <v>45</v>
      </c>
      <c r="J19" s="155">
        <v>45</v>
      </c>
      <c r="K19" s="155">
        <v>45</v>
      </c>
      <c r="L19" s="155">
        <v>45</v>
      </c>
      <c r="M19" s="155">
        <v>45</v>
      </c>
      <c r="N19" s="155">
        <f t="shared" si="1"/>
        <v>540</v>
      </c>
      <c r="O19" s="155">
        <v>780</v>
      </c>
      <c r="P19" s="163">
        <f t="shared" si="2"/>
        <v>-240</v>
      </c>
      <c r="Q19" s="155">
        <v>780</v>
      </c>
    </row>
    <row r="20" spans="1:17" x14ac:dyDescent="0.25">
      <c r="A20" s="154" t="s">
        <v>214</v>
      </c>
      <c r="B20" s="155">
        <v>40</v>
      </c>
      <c r="C20" s="155">
        <v>40</v>
      </c>
      <c r="D20" s="155">
        <v>40</v>
      </c>
      <c r="E20" s="155">
        <v>40</v>
      </c>
      <c r="F20" s="155">
        <v>40</v>
      </c>
      <c r="G20" s="155">
        <v>40</v>
      </c>
      <c r="H20" s="155">
        <v>40</v>
      </c>
      <c r="I20" s="155">
        <v>40</v>
      </c>
      <c r="J20" s="155">
        <v>40</v>
      </c>
      <c r="K20" s="155">
        <v>40</v>
      </c>
      <c r="L20" s="155">
        <v>40</v>
      </c>
      <c r="M20" s="155">
        <v>40</v>
      </c>
      <c r="N20" s="155">
        <f t="shared" si="1"/>
        <v>480</v>
      </c>
      <c r="O20" s="155">
        <v>480</v>
      </c>
      <c r="P20" s="163">
        <f t="shared" si="2"/>
        <v>0</v>
      </c>
      <c r="Q20" s="155">
        <v>480</v>
      </c>
    </row>
    <row r="21" spans="1:17" x14ac:dyDescent="0.25">
      <c r="A21" s="154" t="s">
        <v>264</v>
      </c>
      <c r="B21" s="155">
        <v>0</v>
      </c>
      <c r="C21" s="155">
        <v>300</v>
      </c>
      <c r="D21" s="155">
        <v>300</v>
      </c>
      <c r="E21" s="155">
        <v>300</v>
      </c>
      <c r="F21" s="155">
        <v>300</v>
      </c>
      <c r="G21" s="155">
        <v>300</v>
      </c>
      <c r="H21" s="155">
        <v>300</v>
      </c>
      <c r="I21" s="155">
        <v>300</v>
      </c>
      <c r="J21" s="155">
        <v>300</v>
      </c>
      <c r="K21" s="155">
        <v>300</v>
      </c>
      <c r="L21" s="155">
        <v>300</v>
      </c>
      <c r="M21" s="155">
        <v>0</v>
      </c>
      <c r="N21" s="155">
        <f t="shared" si="1"/>
        <v>3000</v>
      </c>
      <c r="O21" s="155">
        <v>3000</v>
      </c>
      <c r="P21" s="163">
        <f t="shared" si="2"/>
        <v>0</v>
      </c>
      <c r="Q21" s="155">
        <v>3000</v>
      </c>
    </row>
    <row r="22" spans="1:17" x14ac:dyDescent="0.25">
      <c r="A22" s="154" t="s">
        <v>267</v>
      </c>
      <c r="B22" s="155">
        <v>50</v>
      </c>
      <c r="C22" s="155">
        <v>50</v>
      </c>
      <c r="D22" s="155">
        <v>50</v>
      </c>
      <c r="E22" s="155">
        <v>50</v>
      </c>
      <c r="F22" s="155">
        <v>50</v>
      </c>
      <c r="G22" s="155">
        <v>50</v>
      </c>
      <c r="H22" s="155">
        <v>50</v>
      </c>
      <c r="I22" s="155">
        <v>50</v>
      </c>
      <c r="J22" s="155">
        <v>50</v>
      </c>
      <c r="K22" s="155">
        <v>50</v>
      </c>
      <c r="L22" s="155">
        <v>50</v>
      </c>
      <c r="M22" s="155">
        <v>50</v>
      </c>
      <c r="N22" s="155">
        <f t="shared" si="1"/>
        <v>600</v>
      </c>
      <c r="O22" s="155">
        <v>600</v>
      </c>
      <c r="P22" s="163">
        <f t="shared" si="2"/>
        <v>0</v>
      </c>
      <c r="Q22" s="155">
        <v>600</v>
      </c>
    </row>
    <row r="23" spans="1:17" x14ac:dyDescent="0.25">
      <c r="A23" s="217" t="s">
        <v>270</v>
      </c>
      <c r="B23" s="155">
        <v>51</v>
      </c>
      <c r="C23" s="155">
        <v>51</v>
      </c>
      <c r="D23" s="155">
        <v>51</v>
      </c>
      <c r="E23" s="155">
        <v>51</v>
      </c>
      <c r="F23" s="155">
        <v>51</v>
      </c>
      <c r="G23" s="155">
        <v>51</v>
      </c>
      <c r="H23" s="155">
        <v>51</v>
      </c>
      <c r="I23" s="155">
        <v>51</v>
      </c>
      <c r="J23" s="155">
        <v>1450</v>
      </c>
      <c r="K23" s="155">
        <v>1300</v>
      </c>
      <c r="L23" s="155">
        <v>51</v>
      </c>
      <c r="M23" s="155">
        <v>51</v>
      </c>
      <c r="N23" s="155">
        <f t="shared" si="1"/>
        <v>3260</v>
      </c>
      <c r="O23" s="155"/>
      <c r="P23" s="163"/>
      <c r="Q23" s="155"/>
    </row>
    <row r="24" spans="1:17" x14ac:dyDescent="0.25">
      <c r="A24" s="219" t="s">
        <v>331</v>
      </c>
      <c r="B24" s="220">
        <v>0</v>
      </c>
      <c r="C24" s="220">
        <v>300</v>
      </c>
      <c r="D24" s="220">
        <v>300</v>
      </c>
      <c r="E24" s="220">
        <v>300</v>
      </c>
      <c r="F24" s="220">
        <v>300</v>
      </c>
      <c r="G24" s="220">
        <v>300</v>
      </c>
      <c r="H24" s="220">
        <v>300</v>
      </c>
      <c r="I24" s="220">
        <v>300</v>
      </c>
      <c r="J24" s="220">
        <v>300</v>
      </c>
      <c r="K24" s="220">
        <v>300</v>
      </c>
      <c r="L24" s="220">
        <v>300</v>
      </c>
      <c r="M24" s="220">
        <v>0</v>
      </c>
      <c r="N24" s="220">
        <f t="shared" si="1"/>
        <v>3000</v>
      </c>
      <c r="O24" s="155">
        <v>3000</v>
      </c>
      <c r="P24" s="163">
        <f t="shared" si="2"/>
        <v>0</v>
      </c>
      <c r="Q24" s="155">
        <v>3000</v>
      </c>
    </row>
    <row r="25" spans="1:17" x14ac:dyDescent="0.25">
      <c r="A25" s="154" t="s">
        <v>219</v>
      </c>
      <c r="B25" s="155">
        <v>0</v>
      </c>
      <c r="C25" s="155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5">
        <v>0</v>
      </c>
      <c r="M25" s="155">
        <v>0</v>
      </c>
      <c r="N25" s="155">
        <f t="shared" si="1"/>
        <v>0</v>
      </c>
      <c r="P25" s="163">
        <f t="shared" si="2"/>
        <v>0</v>
      </c>
    </row>
    <row r="26" spans="1:17" x14ac:dyDescent="0.25">
      <c r="A26" s="154" t="s">
        <v>275</v>
      </c>
      <c r="B26" s="155">
        <v>74.72</v>
      </c>
      <c r="C26" s="155">
        <v>74.72</v>
      </c>
      <c r="D26" s="155">
        <v>74.72</v>
      </c>
      <c r="E26" s="155">
        <v>74.72</v>
      </c>
      <c r="F26" s="155">
        <v>74.72</v>
      </c>
      <c r="G26" s="155">
        <v>74.72</v>
      </c>
      <c r="H26" s="155">
        <v>74.72</v>
      </c>
      <c r="I26" s="155">
        <v>74.72</v>
      </c>
      <c r="J26" s="155">
        <v>74.72</v>
      </c>
      <c r="K26" s="155">
        <v>74.72</v>
      </c>
      <c r="L26" s="155">
        <v>74.72</v>
      </c>
      <c r="M26" s="155">
        <v>74.72</v>
      </c>
      <c r="N26" s="155">
        <f t="shared" si="1"/>
        <v>896.64000000000021</v>
      </c>
      <c r="P26" s="163">
        <f t="shared" si="2"/>
        <v>896.64000000000021</v>
      </c>
    </row>
    <row r="27" spans="1:17" x14ac:dyDescent="0.25">
      <c r="A27" s="156" t="s">
        <v>196</v>
      </c>
      <c r="B27" s="157">
        <f t="shared" ref="B27:N27" si="3">SUM(B11:B26)</f>
        <v>6290.72</v>
      </c>
      <c r="C27" s="157">
        <f t="shared" si="3"/>
        <v>70390.720000000001</v>
      </c>
      <c r="D27" s="157">
        <f t="shared" si="3"/>
        <v>30390.720000000001</v>
      </c>
      <c r="E27" s="157">
        <f t="shared" si="3"/>
        <v>3390.72</v>
      </c>
      <c r="F27" s="157">
        <f t="shared" si="3"/>
        <v>1890.72</v>
      </c>
      <c r="G27" s="157">
        <f t="shared" si="3"/>
        <v>8140.72</v>
      </c>
      <c r="H27" s="157">
        <f t="shared" si="3"/>
        <v>15390.72</v>
      </c>
      <c r="I27" s="157">
        <f t="shared" si="3"/>
        <v>1890.72</v>
      </c>
      <c r="J27" s="157">
        <f t="shared" si="3"/>
        <v>8289.7199999999993</v>
      </c>
      <c r="K27" s="157">
        <f t="shared" si="3"/>
        <v>35139.72</v>
      </c>
      <c r="L27" s="157">
        <f t="shared" si="3"/>
        <v>9140.7199999999993</v>
      </c>
      <c r="M27" s="157">
        <f t="shared" si="3"/>
        <v>290.72000000000003</v>
      </c>
      <c r="N27" s="157">
        <f t="shared" si="3"/>
        <v>190636.64</v>
      </c>
      <c r="O27" s="163">
        <f>SUM(O11:O26)</f>
        <v>180060</v>
      </c>
      <c r="P27" s="163">
        <f t="shared" si="2"/>
        <v>10576.640000000014</v>
      </c>
      <c r="Q27" s="152">
        <f>SUM(Q9:Q26)</f>
        <v>182560</v>
      </c>
    </row>
    <row r="28" spans="1:17" x14ac:dyDescent="0.25">
      <c r="A28" s="153" t="s">
        <v>222</v>
      </c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P28" s="163"/>
    </row>
    <row r="29" spans="1:17" x14ac:dyDescent="0.25">
      <c r="A29" s="154" t="s">
        <v>223</v>
      </c>
      <c r="B29" s="155">
        <v>14921.63</v>
      </c>
      <c r="C29" s="155">
        <v>15706.98</v>
      </c>
      <c r="D29" s="155">
        <v>16492.330000000002</v>
      </c>
      <c r="E29" s="155">
        <v>17277.68</v>
      </c>
      <c r="F29" s="155">
        <v>18063.03</v>
      </c>
      <c r="G29" s="155">
        <v>15706.98</v>
      </c>
      <c r="H29" s="155">
        <v>18063.03</v>
      </c>
      <c r="I29" s="155">
        <v>17277.68</v>
      </c>
      <c r="J29" s="155">
        <v>16492.330000000002</v>
      </c>
      <c r="K29" s="155">
        <v>18063.03</v>
      </c>
      <c r="L29" s="155">
        <v>16492.330000000002</v>
      </c>
      <c r="M29" s="155">
        <v>20130.84</v>
      </c>
      <c r="N29" s="155">
        <f t="shared" ref="N29:N34" si="4">SUM(B29:M29)</f>
        <v>204687.86999999997</v>
      </c>
      <c r="P29" s="163"/>
      <c r="Q29" s="155">
        <v>156518.55006450001</v>
      </c>
    </row>
    <row r="30" spans="1:17" x14ac:dyDescent="0.25">
      <c r="A30" s="154" t="s">
        <v>276</v>
      </c>
      <c r="B30" s="155">
        <v>250</v>
      </c>
      <c r="C30" s="155">
        <v>3000</v>
      </c>
      <c r="D30" s="155">
        <v>2500</v>
      </c>
      <c r="E30" s="155">
        <v>50</v>
      </c>
      <c r="F30" s="155">
        <v>150</v>
      </c>
      <c r="G30" s="155">
        <v>200</v>
      </c>
      <c r="H30" s="155">
        <v>50</v>
      </c>
      <c r="I30" s="155">
        <v>75</v>
      </c>
      <c r="J30" s="155">
        <v>75</v>
      </c>
      <c r="K30" s="155">
        <v>50</v>
      </c>
      <c r="L30" s="155">
        <v>25</v>
      </c>
      <c r="M30" s="155" t="s">
        <v>382</v>
      </c>
      <c r="N30" s="155">
        <f t="shared" si="4"/>
        <v>6425</v>
      </c>
      <c r="P30" s="163"/>
      <c r="Q30" s="155">
        <v>6425</v>
      </c>
    </row>
    <row r="31" spans="1:17" x14ac:dyDescent="0.25">
      <c r="A31" s="154" t="s">
        <v>224</v>
      </c>
      <c r="B31" s="155">
        <v>2200.5100000000002</v>
      </c>
      <c r="C31" s="155">
        <v>2576.3200000000002</v>
      </c>
      <c r="D31" s="155">
        <v>2643.39</v>
      </c>
      <c r="E31" s="155">
        <v>2525.1999999999998</v>
      </c>
      <c r="F31" s="155">
        <v>2649.27</v>
      </c>
      <c r="G31" s="155">
        <v>2310.3200000000002</v>
      </c>
      <c r="H31" s="155">
        <v>2639.77</v>
      </c>
      <c r="I31" s="155">
        <v>2527.58</v>
      </c>
      <c r="J31" s="155">
        <v>2413.0100000000002</v>
      </c>
      <c r="K31" s="155">
        <v>2639.77</v>
      </c>
      <c r="L31" s="155">
        <v>2408.2600000000002</v>
      </c>
      <c r="M31" s="155">
        <v>2520.4499999999998</v>
      </c>
      <c r="N31" s="155">
        <f t="shared" si="4"/>
        <v>30053.850000000002</v>
      </c>
      <c r="P31" s="163"/>
      <c r="Q31" s="155">
        <v>18050.309019222484</v>
      </c>
    </row>
    <row r="32" spans="1:17" x14ac:dyDescent="0.25">
      <c r="A32" s="154" t="s">
        <v>225</v>
      </c>
      <c r="B32" s="155">
        <v>160.49</v>
      </c>
      <c r="C32" s="155">
        <v>194.93</v>
      </c>
      <c r="D32" s="155">
        <v>198.5</v>
      </c>
      <c r="E32" s="155">
        <v>183.55</v>
      </c>
      <c r="F32" s="155">
        <v>192.82</v>
      </c>
      <c r="G32" s="155">
        <v>168.33</v>
      </c>
      <c r="H32" s="155">
        <v>191.87</v>
      </c>
      <c r="I32" s="155">
        <v>183.79</v>
      </c>
      <c r="J32" s="155">
        <v>175.47</v>
      </c>
      <c r="K32" s="155">
        <v>191.87</v>
      </c>
      <c r="L32" s="155">
        <v>174.99</v>
      </c>
      <c r="M32" s="155">
        <v>183.08</v>
      </c>
      <c r="N32" s="155">
        <f t="shared" si="4"/>
        <v>2199.69</v>
      </c>
      <c r="P32" s="163"/>
      <c r="Q32" s="155">
        <v>1689.5115256117629</v>
      </c>
    </row>
    <row r="33" spans="1:17" x14ac:dyDescent="0.25">
      <c r="A33" s="154" t="s">
        <v>226</v>
      </c>
      <c r="B33" s="155">
        <v>1649.26</v>
      </c>
      <c r="C33" s="155">
        <v>1419.63</v>
      </c>
      <c r="D33" s="155">
        <v>1490.61</v>
      </c>
      <c r="E33" s="155">
        <v>1561.59</v>
      </c>
      <c r="F33" s="155">
        <v>1632.58</v>
      </c>
      <c r="G33" s="155">
        <v>1419.63</v>
      </c>
      <c r="H33" s="155">
        <v>1632.58</v>
      </c>
      <c r="I33" s="155">
        <v>1561.59</v>
      </c>
      <c r="J33" s="155">
        <v>1490.61</v>
      </c>
      <c r="K33" s="155">
        <v>1632.58</v>
      </c>
      <c r="L33" s="155">
        <v>1490.61</v>
      </c>
      <c r="M33" s="155">
        <v>1561.59</v>
      </c>
      <c r="N33" s="155">
        <f t="shared" si="4"/>
        <v>18542.86</v>
      </c>
      <c r="P33" s="163"/>
      <c r="Q33" s="155">
        <v>14035.441016369763</v>
      </c>
    </row>
    <row r="34" spans="1:17" x14ac:dyDescent="0.25">
      <c r="A34" s="154" t="s">
        <v>227</v>
      </c>
      <c r="B34" s="155">
        <v>900.54</v>
      </c>
      <c r="C34" s="155">
        <v>467.67</v>
      </c>
      <c r="D34" s="155">
        <v>474.81</v>
      </c>
      <c r="E34" s="155">
        <v>433.19</v>
      </c>
      <c r="F34" s="155">
        <v>455.33</v>
      </c>
      <c r="G34" s="155">
        <v>397.67</v>
      </c>
      <c r="H34" s="155">
        <v>452.83</v>
      </c>
      <c r="I34" s="155">
        <v>433.82</v>
      </c>
      <c r="J34" s="155">
        <v>414.18</v>
      </c>
      <c r="K34" s="155">
        <v>452.83</v>
      </c>
      <c r="L34" s="155">
        <v>412.93</v>
      </c>
      <c r="M34" s="155">
        <v>431.94</v>
      </c>
      <c r="N34" s="155">
        <f t="shared" si="4"/>
        <v>5727.74</v>
      </c>
      <c r="P34" s="163"/>
      <c r="Q34" s="155">
        <v>4177.0908374999999</v>
      </c>
    </row>
    <row r="35" spans="1:17" x14ac:dyDescent="0.25">
      <c r="A35" s="156" t="s">
        <v>228</v>
      </c>
      <c r="B35" s="157">
        <f t="shared" ref="B35:N35" si="5">SUM(B29:B34)</f>
        <v>20082.43</v>
      </c>
      <c r="C35" s="157">
        <f t="shared" si="5"/>
        <v>23365.53</v>
      </c>
      <c r="D35" s="157">
        <f t="shared" si="5"/>
        <v>23799.640000000003</v>
      </c>
      <c r="E35" s="157">
        <f t="shared" si="5"/>
        <v>22031.21</v>
      </c>
      <c r="F35" s="157">
        <f t="shared" si="5"/>
        <v>23143.03</v>
      </c>
      <c r="G35" s="157">
        <f t="shared" si="5"/>
        <v>20202.93</v>
      </c>
      <c r="H35" s="157">
        <f t="shared" si="5"/>
        <v>23030.080000000002</v>
      </c>
      <c r="I35" s="157">
        <f t="shared" si="5"/>
        <v>22059.460000000003</v>
      </c>
      <c r="J35" s="157">
        <f t="shared" si="5"/>
        <v>21060.600000000006</v>
      </c>
      <c r="K35" s="157">
        <f t="shared" si="5"/>
        <v>23030.080000000002</v>
      </c>
      <c r="L35" s="157">
        <f t="shared" si="5"/>
        <v>21004.120000000006</v>
      </c>
      <c r="M35" s="157">
        <f t="shared" si="5"/>
        <v>24827.9</v>
      </c>
      <c r="N35" s="157">
        <f t="shared" si="5"/>
        <v>267637.00999999995</v>
      </c>
      <c r="P35" s="163"/>
      <c r="Q35" s="157">
        <f t="shared" ref="Q35" si="6">SUM(Q29:Q34)</f>
        <v>200895.90246320402</v>
      </c>
    </row>
    <row r="36" spans="1:17" x14ac:dyDescent="0.25">
      <c r="A36" s="158" t="s">
        <v>197</v>
      </c>
      <c r="B36" s="157">
        <f t="shared" ref="B36:N36" si="7">SUM(B27,B35)</f>
        <v>26373.15</v>
      </c>
      <c r="C36" s="157">
        <f t="shared" si="7"/>
        <v>93756.25</v>
      </c>
      <c r="D36" s="157">
        <f t="shared" si="7"/>
        <v>54190.36</v>
      </c>
      <c r="E36" s="157">
        <f t="shared" si="7"/>
        <v>25421.93</v>
      </c>
      <c r="F36" s="157">
        <f t="shared" si="7"/>
        <v>25033.75</v>
      </c>
      <c r="G36" s="157">
        <f t="shared" si="7"/>
        <v>28343.65</v>
      </c>
      <c r="H36" s="157">
        <f t="shared" si="7"/>
        <v>38420.800000000003</v>
      </c>
      <c r="I36" s="157">
        <f t="shared" si="7"/>
        <v>23950.180000000004</v>
      </c>
      <c r="J36" s="157">
        <f t="shared" si="7"/>
        <v>29350.320000000007</v>
      </c>
      <c r="K36" s="157">
        <f t="shared" si="7"/>
        <v>58169.8</v>
      </c>
      <c r="L36" s="157">
        <f t="shared" si="7"/>
        <v>30144.840000000004</v>
      </c>
      <c r="M36" s="157">
        <f t="shared" si="7"/>
        <v>25118.620000000003</v>
      </c>
      <c r="N36" s="157">
        <f t="shared" si="7"/>
        <v>458273.64999999997</v>
      </c>
      <c r="P36" s="163"/>
      <c r="Q36" s="157">
        <f t="shared" ref="Q36" si="8">SUM(Q27,Q35)</f>
        <v>383455.90246320399</v>
      </c>
    </row>
    <row r="37" spans="1:17" x14ac:dyDescent="0.25">
      <c r="A37" s="149" t="s">
        <v>198</v>
      </c>
      <c r="B37" s="150">
        <f t="shared" ref="B37:N37" si="9">B8-B36</f>
        <v>-26373.15</v>
      </c>
      <c r="C37" s="150">
        <f t="shared" si="9"/>
        <v>-93756.25</v>
      </c>
      <c r="D37" s="150">
        <f t="shared" si="9"/>
        <v>-54190.36</v>
      </c>
      <c r="E37" s="150">
        <f t="shared" si="9"/>
        <v>-25421.93</v>
      </c>
      <c r="F37" s="150">
        <f t="shared" si="9"/>
        <v>-25033.75</v>
      </c>
      <c r="G37" s="150">
        <f t="shared" si="9"/>
        <v>-28343.65</v>
      </c>
      <c r="H37" s="150">
        <f t="shared" si="9"/>
        <v>-38420.800000000003</v>
      </c>
      <c r="I37" s="150">
        <f t="shared" si="9"/>
        <v>-23950.180000000004</v>
      </c>
      <c r="J37" s="150">
        <f t="shared" si="9"/>
        <v>-29350.320000000007</v>
      </c>
      <c r="K37" s="150">
        <f t="shared" si="9"/>
        <v>-58169.8</v>
      </c>
      <c r="L37" s="150">
        <f t="shared" si="9"/>
        <v>-30144.840000000004</v>
      </c>
      <c r="M37" s="150">
        <f t="shared" si="9"/>
        <v>-25118.620000000003</v>
      </c>
      <c r="N37" s="150">
        <f t="shared" si="9"/>
        <v>-458273.64999999997</v>
      </c>
      <c r="P37" s="163"/>
      <c r="Q37" s="150">
        <f t="shared" ref="Q37" si="10">Q8-Q36</f>
        <v>-383455.90246320399</v>
      </c>
    </row>
    <row r="38" spans="1:17" x14ac:dyDescent="0.25">
      <c r="A38" s="151" t="s">
        <v>199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P38" s="163"/>
    </row>
    <row r="39" spans="1:17" x14ac:dyDescent="0.25">
      <c r="A39" s="153" t="s">
        <v>202</v>
      </c>
      <c r="B39" s="152"/>
      <c r="C39" s="152"/>
      <c r="D39" s="152"/>
      <c r="E39" s="152"/>
      <c r="F39" s="152"/>
      <c r="G39" s="152"/>
      <c r="H39" s="152"/>
      <c r="I39" s="152"/>
      <c r="J39" s="152"/>
      <c r="K39" s="152"/>
      <c r="L39" s="152"/>
      <c r="M39" s="152"/>
      <c r="N39" s="152"/>
      <c r="P39" s="163"/>
    </row>
    <row r="40" spans="1:17" x14ac:dyDescent="0.25">
      <c r="A40" s="154" t="s">
        <v>383</v>
      </c>
      <c r="B40" s="155">
        <v>0</v>
      </c>
      <c r="C40" s="155">
        <v>0</v>
      </c>
      <c r="D40" s="155">
        <v>200</v>
      </c>
      <c r="E40" s="155">
        <v>200</v>
      </c>
      <c r="F40" s="155">
        <v>200</v>
      </c>
      <c r="G40" s="155">
        <v>0</v>
      </c>
      <c r="H40" s="155">
        <v>0</v>
      </c>
      <c r="I40" s="155">
        <v>200</v>
      </c>
      <c r="J40" s="155">
        <v>200</v>
      </c>
      <c r="K40" s="155">
        <v>200</v>
      </c>
      <c r="L40" s="155">
        <v>200</v>
      </c>
      <c r="M40" s="155">
        <v>0</v>
      </c>
      <c r="N40" s="155">
        <f>SUM(B40:M40)</f>
        <v>1400</v>
      </c>
      <c r="O40" s="155">
        <v>4000</v>
      </c>
      <c r="P40" s="163">
        <f t="shared" si="2"/>
        <v>-2600</v>
      </c>
      <c r="Q40" s="155">
        <v>2800</v>
      </c>
    </row>
    <row r="41" spans="1:17" x14ac:dyDescent="0.25">
      <c r="A41" s="219" t="s">
        <v>384</v>
      </c>
      <c r="B41" s="220">
        <v>0</v>
      </c>
      <c r="C41" s="220">
        <v>95000</v>
      </c>
      <c r="D41" s="220">
        <v>0</v>
      </c>
      <c r="E41" s="220">
        <v>0</v>
      </c>
      <c r="F41" s="220">
        <v>0</v>
      </c>
      <c r="G41" s="220">
        <v>0</v>
      </c>
      <c r="H41" s="220">
        <v>0</v>
      </c>
      <c r="I41" s="220">
        <v>0</v>
      </c>
      <c r="J41" s="220">
        <v>0</v>
      </c>
      <c r="K41" s="220">
        <v>0</v>
      </c>
      <c r="L41" s="220">
        <v>0</v>
      </c>
      <c r="M41" s="220">
        <v>0</v>
      </c>
      <c r="N41" s="220">
        <f>SUM(B41:M41)</f>
        <v>95000</v>
      </c>
      <c r="O41" s="155">
        <v>95000</v>
      </c>
      <c r="P41" s="163">
        <f t="shared" si="2"/>
        <v>0</v>
      </c>
      <c r="Q41" s="155">
        <v>95000</v>
      </c>
    </row>
    <row r="42" spans="1:17" x14ac:dyDescent="0.25">
      <c r="A42" s="219" t="s">
        <v>230</v>
      </c>
      <c r="B42" s="220">
        <v>0</v>
      </c>
      <c r="C42" s="220">
        <v>0</v>
      </c>
      <c r="D42" s="220">
        <v>2000</v>
      </c>
      <c r="E42" s="220">
        <v>0</v>
      </c>
      <c r="F42" s="220">
        <v>0</v>
      </c>
      <c r="G42" s="220">
        <v>0</v>
      </c>
      <c r="H42" s="220">
        <v>0</v>
      </c>
      <c r="I42" s="220">
        <v>0</v>
      </c>
      <c r="J42" s="220">
        <v>0</v>
      </c>
      <c r="K42" s="220">
        <v>25000</v>
      </c>
      <c r="L42" s="220">
        <v>0</v>
      </c>
      <c r="M42" s="220">
        <v>0</v>
      </c>
      <c r="N42" s="220">
        <f>SUM(B42:M42)</f>
        <v>27000</v>
      </c>
      <c r="O42" s="155">
        <v>29000</v>
      </c>
      <c r="P42" s="163">
        <f t="shared" si="2"/>
        <v>-2000</v>
      </c>
      <c r="Q42" s="155">
        <v>27000</v>
      </c>
    </row>
    <row r="43" spans="1:17" x14ac:dyDescent="0.25">
      <c r="A43" s="156" t="s">
        <v>203</v>
      </c>
      <c r="B43" s="157">
        <v>117.85723796825287</v>
      </c>
      <c r="C43" s="157">
        <v>124.06025049289777</v>
      </c>
      <c r="D43" s="157">
        <v>130.26326301754264</v>
      </c>
      <c r="E43" s="157">
        <v>136.46627554218753</v>
      </c>
      <c r="F43" s="157">
        <v>142.66928806683242</v>
      </c>
      <c r="G43" s="157">
        <v>124.06025049289777</v>
      </c>
      <c r="H43" s="157">
        <v>142.66928806683242</v>
      </c>
      <c r="I43" s="157">
        <v>136.46627554218753</v>
      </c>
      <c r="J43" s="157">
        <v>130.26326301754264</v>
      </c>
      <c r="K43" s="157">
        <v>142.66928806683242</v>
      </c>
      <c r="L43" s="157">
        <v>130.26326301754264</v>
      </c>
      <c r="M43" s="157">
        <v>136.46627554218753</v>
      </c>
      <c r="N43" s="157">
        <f t="shared" ref="N43" si="11">SUM(N40:N42)</f>
        <v>123400</v>
      </c>
      <c r="P43" s="163">
        <f t="shared" si="2"/>
        <v>123400</v>
      </c>
      <c r="Q43" s="157">
        <f t="shared" ref="Q43" si="12">SUM(Q40:Q42)</f>
        <v>124800</v>
      </c>
    </row>
    <row r="44" spans="1:17" x14ac:dyDescent="0.25">
      <c r="A44" s="158" t="s">
        <v>206</v>
      </c>
      <c r="B44" s="157">
        <v>1138.5768789395815</v>
      </c>
      <c r="C44" s="157">
        <v>1058.2009251995596</v>
      </c>
      <c r="D44" s="157">
        <v>1111.1109714595375</v>
      </c>
      <c r="E44" s="157">
        <v>1164.0210177195154</v>
      </c>
      <c r="F44" s="157">
        <v>1216.9310639794935</v>
      </c>
      <c r="G44" s="157">
        <v>1058.2009251995596</v>
      </c>
      <c r="H44" s="157">
        <v>1216.9310639794935</v>
      </c>
      <c r="I44" s="157">
        <v>1164.0210177195154</v>
      </c>
      <c r="J44" s="157">
        <v>1111.1109714595375</v>
      </c>
      <c r="K44" s="157">
        <v>1216.9310639794935</v>
      </c>
      <c r="L44" s="157">
        <v>1111.1109714595375</v>
      </c>
      <c r="M44" s="157">
        <v>1164.0210177195154</v>
      </c>
      <c r="N44" s="157">
        <f t="shared" ref="N44" si="13">SUM(N43)</f>
        <v>123400</v>
      </c>
      <c r="P44" s="163">
        <f t="shared" si="2"/>
        <v>123400</v>
      </c>
      <c r="Q44" s="157">
        <f t="shared" ref="Q44" si="14">SUM(Q43)</f>
        <v>124800</v>
      </c>
    </row>
    <row r="45" spans="1:17" x14ac:dyDescent="0.25">
      <c r="A45" s="149" t="s">
        <v>31</v>
      </c>
      <c r="B45" s="150">
        <v>720.8084370817121</v>
      </c>
      <c r="C45" s="150">
        <v>292.70177587548636</v>
      </c>
      <c r="D45" s="150">
        <v>307.33686466926071</v>
      </c>
      <c r="E45" s="150">
        <v>321.97195346303499</v>
      </c>
      <c r="F45" s="150">
        <v>336.60704225680934</v>
      </c>
      <c r="G45" s="150">
        <v>292.70177587548636</v>
      </c>
      <c r="H45" s="150">
        <v>336.60704225680934</v>
      </c>
      <c r="I45" s="150">
        <v>321.97195346303499</v>
      </c>
      <c r="J45" s="150">
        <v>307.33686466926071</v>
      </c>
      <c r="K45" s="150">
        <v>336.60704225680934</v>
      </c>
      <c r="L45" s="150">
        <v>307.33686466926071</v>
      </c>
      <c r="M45" s="150">
        <v>321.97195346303499</v>
      </c>
      <c r="N45" s="150">
        <f t="shared" ref="N45" si="15">N37+N44+0</f>
        <v>-334873.64999999997</v>
      </c>
      <c r="P45" s="163">
        <f t="shared" si="2"/>
        <v>-334873.64999999997</v>
      </c>
      <c r="Q45" s="150">
        <f t="shared" ref="Q45" si="16">Q37+Q44+0</f>
        <v>-258655.90246320399</v>
      </c>
    </row>
    <row r="49" spans="1:17" x14ac:dyDescent="0.25">
      <c r="A49" s="173"/>
    </row>
    <row r="50" spans="1:17" x14ac:dyDescent="0.25">
      <c r="B50" s="174"/>
      <c r="Q50" s="260"/>
    </row>
    <row r="51" spans="1:17" x14ac:dyDescent="0.25">
      <c r="B51" s="174"/>
    </row>
    <row r="52" spans="1:17" x14ac:dyDescent="0.25">
      <c r="B52" s="174"/>
    </row>
    <row r="53" spans="1:17" x14ac:dyDescent="0.25">
      <c r="B53" s="174"/>
    </row>
    <row r="54" spans="1:17" x14ac:dyDescent="0.25">
      <c r="B54" s="174"/>
    </row>
    <row r="55" spans="1:17" x14ac:dyDescent="0.25">
      <c r="B55" s="174"/>
    </row>
    <row r="56" spans="1:17" x14ac:dyDescent="0.25">
      <c r="B56" s="174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2E583-9022-C748-AC7A-1903E0CCE0F9}">
  <sheetPr codeName="Sheet5">
    <tabColor rgb="FFFFFF00"/>
  </sheetPr>
  <dimension ref="A1:O57"/>
  <sheetViews>
    <sheetView topLeftCell="A13" workbookViewId="0">
      <selection activeCell="B41" sqref="B41"/>
    </sheetView>
  </sheetViews>
  <sheetFormatPr defaultColWidth="7" defaultRowHeight="11.25" x14ac:dyDescent="0.2"/>
  <cols>
    <col min="1" max="1" width="49" style="73" bestFit="1" customWidth="1"/>
    <col min="2" max="13" width="8.125" style="73" bestFit="1" customWidth="1"/>
    <col min="14" max="14" width="8.875" style="73" bestFit="1" customWidth="1"/>
    <col min="15" max="16384" width="7" style="73"/>
  </cols>
  <sheetData>
    <row r="1" spans="1:14" ht="15.75" x14ac:dyDescent="0.25">
      <c r="A1" s="366" t="s">
        <v>182</v>
      </c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</row>
    <row r="2" spans="1:14" ht="18" x14ac:dyDescent="0.25">
      <c r="A2" s="367" t="s">
        <v>183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7" t="s">
        <v>120</v>
      </c>
      <c r="B4" s="367"/>
      <c r="C4" s="367"/>
      <c r="D4" s="367"/>
      <c r="E4" s="367"/>
      <c r="F4" s="367"/>
      <c r="G4" s="367"/>
      <c r="H4" s="367"/>
      <c r="I4" s="367"/>
      <c r="J4" s="367"/>
      <c r="K4" s="367"/>
      <c r="L4" s="367"/>
      <c r="M4" s="367"/>
      <c r="N4" s="367"/>
    </row>
    <row r="5" spans="1:14" ht="18" x14ac:dyDescent="0.25">
      <c r="A5" s="175"/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</row>
    <row r="6" spans="1:14" x14ac:dyDescent="0.2">
      <c r="A6" s="176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216" t="s">
        <v>49</v>
      </c>
    </row>
    <row r="7" spans="1:14" s="208" customFormat="1" x14ac:dyDescent="0.2">
      <c r="A7" s="177" t="s">
        <v>190</v>
      </c>
      <c r="B7" s="178" t="s">
        <v>191</v>
      </c>
      <c r="C7" s="178" t="s">
        <v>191</v>
      </c>
      <c r="D7" s="178" t="s">
        <v>191</v>
      </c>
      <c r="E7" s="178" t="s">
        <v>191</v>
      </c>
      <c r="F7" s="178" t="s">
        <v>191</v>
      </c>
      <c r="G7" s="178" t="s">
        <v>191</v>
      </c>
      <c r="H7" s="178" t="s">
        <v>191</v>
      </c>
      <c r="I7" s="178" t="s">
        <v>191</v>
      </c>
      <c r="J7" s="178" t="s">
        <v>191</v>
      </c>
      <c r="K7" s="178" t="s">
        <v>191</v>
      </c>
      <c r="L7" s="178" t="s">
        <v>191</v>
      </c>
      <c r="M7" s="178" t="s">
        <v>191</v>
      </c>
      <c r="N7" s="178" t="s">
        <v>191</v>
      </c>
    </row>
    <row r="8" spans="1:14" x14ac:dyDescent="0.2">
      <c r="A8" s="179" t="s">
        <v>246</v>
      </c>
      <c r="B8" s="180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</row>
    <row r="9" spans="1:14" x14ac:dyDescent="0.2">
      <c r="A9" s="181" t="s">
        <v>251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</row>
    <row r="10" spans="1:14" x14ac:dyDescent="0.2">
      <c r="A10" s="182" t="s">
        <v>385</v>
      </c>
      <c r="B10" s="155">
        <v>0</v>
      </c>
      <c r="C10" s="155">
        <v>0</v>
      </c>
      <c r="D10" s="155">
        <v>0</v>
      </c>
      <c r="E10" s="155">
        <v>0</v>
      </c>
      <c r="F10" s="155">
        <v>0</v>
      </c>
      <c r="G10" s="155">
        <v>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83">
        <f>SUM(B10:M10)</f>
        <v>0</v>
      </c>
    </row>
    <row r="11" spans="1:14" x14ac:dyDescent="0.2">
      <c r="A11" s="182" t="s">
        <v>386</v>
      </c>
      <c r="B11" s="336">
        <v>5000</v>
      </c>
      <c r="C11" s="155">
        <v>11000</v>
      </c>
      <c r="D11" s="155">
        <v>5000</v>
      </c>
      <c r="E11" s="155">
        <v>7000</v>
      </c>
      <c r="F11" s="155">
        <v>8500</v>
      </c>
      <c r="G11" s="155">
        <v>5000</v>
      </c>
      <c r="H11" s="155">
        <v>8000</v>
      </c>
      <c r="I11" s="155">
        <v>8500</v>
      </c>
      <c r="J11" s="155">
        <v>4000</v>
      </c>
      <c r="K11" s="155">
        <v>10000</v>
      </c>
      <c r="L11" s="155">
        <v>5000</v>
      </c>
      <c r="M11" s="155">
        <v>5000</v>
      </c>
      <c r="N11" s="183">
        <f>SUM(B11:M11)</f>
        <v>82000</v>
      </c>
    </row>
    <row r="12" spans="1:14" x14ac:dyDescent="0.2">
      <c r="A12" s="182" t="s">
        <v>387</v>
      </c>
      <c r="B12" s="336">
        <v>500</v>
      </c>
      <c r="C12" s="155">
        <v>700</v>
      </c>
      <c r="D12" s="155">
        <v>800</v>
      </c>
      <c r="E12" s="155">
        <v>400</v>
      </c>
      <c r="F12" s="155">
        <v>2000</v>
      </c>
      <c r="G12" s="155">
        <v>500</v>
      </c>
      <c r="H12" s="155">
        <v>300</v>
      </c>
      <c r="I12" s="155">
        <v>500</v>
      </c>
      <c r="J12" s="155">
        <v>100</v>
      </c>
      <c r="K12" s="155">
        <v>4000</v>
      </c>
      <c r="L12" s="155">
        <v>5000</v>
      </c>
      <c r="M12" s="155">
        <v>500</v>
      </c>
      <c r="N12" s="183">
        <f>SUM(B12:M12)</f>
        <v>15300</v>
      </c>
    </row>
    <row r="13" spans="1:14" x14ac:dyDescent="0.2">
      <c r="A13" s="182" t="s">
        <v>388</v>
      </c>
      <c r="B13" s="183">
        <v>0</v>
      </c>
      <c r="C13" s="183">
        <v>0</v>
      </c>
      <c r="D13" s="183">
        <v>0</v>
      </c>
      <c r="E13" s="183">
        <v>0</v>
      </c>
      <c r="F13" s="183">
        <v>0</v>
      </c>
      <c r="G13" s="183">
        <v>0</v>
      </c>
      <c r="H13" s="183">
        <v>0</v>
      </c>
      <c r="I13" s="183">
        <v>0</v>
      </c>
      <c r="J13" s="183">
        <v>0</v>
      </c>
      <c r="K13" s="183">
        <v>0</v>
      </c>
      <c r="L13" s="183">
        <v>0</v>
      </c>
      <c r="M13" s="183">
        <v>0</v>
      </c>
      <c r="N13" s="183">
        <f>SUM(B13:M13)</f>
        <v>0</v>
      </c>
    </row>
    <row r="14" spans="1:14" x14ac:dyDescent="0.2">
      <c r="A14" s="184" t="s">
        <v>253</v>
      </c>
      <c r="B14" s="185">
        <f t="shared" ref="B14:N14" si="0">SUM(B10:B13)</f>
        <v>5500</v>
      </c>
      <c r="C14" s="185">
        <f t="shared" si="0"/>
        <v>11700</v>
      </c>
      <c r="D14" s="185">
        <f t="shared" si="0"/>
        <v>5800</v>
      </c>
      <c r="E14" s="185">
        <f t="shared" si="0"/>
        <v>7400</v>
      </c>
      <c r="F14" s="185">
        <f t="shared" si="0"/>
        <v>10500</v>
      </c>
      <c r="G14" s="185">
        <f t="shared" si="0"/>
        <v>5500</v>
      </c>
      <c r="H14" s="185">
        <f t="shared" si="0"/>
        <v>8300</v>
      </c>
      <c r="I14" s="185">
        <f t="shared" si="0"/>
        <v>9000</v>
      </c>
      <c r="J14" s="185">
        <f t="shared" si="0"/>
        <v>4100</v>
      </c>
      <c r="K14" s="185">
        <f t="shared" si="0"/>
        <v>14000</v>
      </c>
      <c r="L14" s="185">
        <f t="shared" si="0"/>
        <v>10000</v>
      </c>
      <c r="M14" s="185">
        <f t="shared" si="0"/>
        <v>5500</v>
      </c>
      <c r="N14" s="185">
        <f t="shared" si="0"/>
        <v>97300</v>
      </c>
    </row>
    <row r="15" spans="1:14" x14ac:dyDescent="0.2">
      <c r="A15" s="186" t="s">
        <v>254</v>
      </c>
      <c r="B15" s="185">
        <f t="shared" ref="B15:N15" si="1">SUM(B14)</f>
        <v>5500</v>
      </c>
      <c r="C15" s="185">
        <f t="shared" si="1"/>
        <v>11700</v>
      </c>
      <c r="D15" s="185">
        <f t="shared" si="1"/>
        <v>5800</v>
      </c>
      <c r="E15" s="185">
        <f t="shared" si="1"/>
        <v>7400</v>
      </c>
      <c r="F15" s="185">
        <f t="shared" si="1"/>
        <v>10500</v>
      </c>
      <c r="G15" s="185">
        <f t="shared" si="1"/>
        <v>5500</v>
      </c>
      <c r="H15" s="185">
        <f t="shared" si="1"/>
        <v>8300</v>
      </c>
      <c r="I15" s="185">
        <f t="shared" si="1"/>
        <v>9000</v>
      </c>
      <c r="J15" s="185">
        <f t="shared" si="1"/>
        <v>4100</v>
      </c>
      <c r="K15" s="185">
        <f t="shared" si="1"/>
        <v>14000</v>
      </c>
      <c r="L15" s="185">
        <f t="shared" si="1"/>
        <v>10000</v>
      </c>
      <c r="M15" s="185">
        <f t="shared" si="1"/>
        <v>5500</v>
      </c>
      <c r="N15" s="185">
        <f t="shared" si="1"/>
        <v>97300</v>
      </c>
    </row>
    <row r="16" spans="1:14" x14ac:dyDescent="0.2">
      <c r="A16" s="179" t="s">
        <v>255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</row>
    <row r="17" spans="1:14" x14ac:dyDescent="0.2">
      <c r="A17" s="187" t="s">
        <v>256</v>
      </c>
      <c r="B17" s="336">
        <v>2750</v>
      </c>
      <c r="C17" s="336">
        <v>5850</v>
      </c>
      <c r="D17" s="336">
        <v>2900</v>
      </c>
      <c r="E17" s="336">
        <v>3700</v>
      </c>
      <c r="F17" s="336">
        <v>5250</v>
      </c>
      <c r="G17" s="336">
        <v>2750</v>
      </c>
      <c r="H17" s="336">
        <v>5300</v>
      </c>
      <c r="I17" s="336">
        <v>4500</v>
      </c>
      <c r="J17" s="336">
        <v>2050</v>
      </c>
      <c r="K17" s="336">
        <v>12000</v>
      </c>
      <c r="L17" s="336">
        <v>2750</v>
      </c>
      <c r="M17" s="336">
        <v>2750</v>
      </c>
      <c r="N17" s="183">
        <f>SUM(B17:M17)</f>
        <v>52550</v>
      </c>
    </row>
    <row r="18" spans="1:14" x14ac:dyDescent="0.2">
      <c r="A18" s="186" t="s">
        <v>257</v>
      </c>
      <c r="B18" s="185">
        <f t="shared" ref="B18:N18" si="2">SUM(B17)</f>
        <v>2750</v>
      </c>
      <c r="C18" s="185">
        <f t="shared" si="2"/>
        <v>5850</v>
      </c>
      <c r="D18" s="185">
        <f t="shared" si="2"/>
        <v>2900</v>
      </c>
      <c r="E18" s="185">
        <f t="shared" si="2"/>
        <v>3700</v>
      </c>
      <c r="F18" s="185">
        <f t="shared" si="2"/>
        <v>5250</v>
      </c>
      <c r="G18" s="185">
        <f t="shared" si="2"/>
        <v>2750</v>
      </c>
      <c r="H18" s="185">
        <f t="shared" si="2"/>
        <v>5300</v>
      </c>
      <c r="I18" s="185">
        <f t="shared" si="2"/>
        <v>4500</v>
      </c>
      <c r="J18" s="185">
        <f t="shared" si="2"/>
        <v>2050</v>
      </c>
      <c r="K18" s="185">
        <f t="shared" si="2"/>
        <v>12000</v>
      </c>
      <c r="L18" s="185">
        <f t="shared" si="2"/>
        <v>2750</v>
      </c>
      <c r="M18" s="185">
        <f t="shared" si="2"/>
        <v>2750</v>
      </c>
      <c r="N18" s="185">
        <f t="shared" si="2"/>
        <v>52550</v>
      </c>
    </row>
    <row r="19" spans="1:14" x14ac:dyDescent="0.2">
      <c r="A19" s="188" t="s">
        <v>193</v>
      </c>
      <c r="B19" s="189">
        <f t="shared" ref="B19:N19" si="3">B15-B18</f>
        <v>2750</v>
      </c>
      <c r="C19" s="189">
        <f t="shared" si="3"/>
        <v>5850</v>
      </c>
      <c r="D19" s="189">
        <f t="shared" si="3"/>
        <v>2900</v>
      </c>
      <c r="E19" s="189">
        <f t="shared" si="3"/>
        <v>3700</v>
      </c>
      <c r="F19" s="189">
        <f t="shared" si="3"/>
        <v>5250</v>
      </c>
      <c r="G19" s="189">
        <f t="shared" si="3"/>
        <v>2750</v>
      </c>
      <c r="H19" s="189">
        <f t="shared" si="3"/>
        <v>3000</v>
      </c>
      <c r="I19" s="189">
        <f t="shared" si="3"/>
        <v>4500</v>
      </c>
      <c r="J19" s="189">
        <f t="shared" si="3"/>
        <v>2050</v>
      </c>
      <c r="K19" s="189">
        <f t="shared" si="3"/>
        <v>2000</v>
      </c>
      <c r="L19" s="189">
        <f t="shared" si="3"/>
        <v>7250</v>
      </c>
      <c r="M19" s="189">
        <f t="shared" si="3"/>
        <v>2750</v>
      </c>
      <c r="N19" s="189">
        <f t="shared" si="3"/>
        <v>44750</v>
      </c>
    </row>
    <row r="20" spans="1:14" x14ac:dyDescent="0.2">
      <c r="A20" s="179" t="s">
        <v>194</v>
      </c>
      <c r="B20" s="180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</row>
    <row r="21" spans="1:14" x14ac:dyDescent="0.2">
      <c r="A21" s="181" t="s">
        <v>195</v>
      </c>
      <c r="B21" s="180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</row>
    <row r="22" spans="1:14" x14ac:dyDescent="0.2">
      <c r="A22" s="182" t="s">
        <v>258</v>
      </c>
      <c r="B22" s="183">
        <v>20</v>
      </c>
      <c r="C22" s="183">
        <v>2280</v>
      </c>
      <c r="D22" s="183">
        <v>20</v>
      </c>
      <c r="E22" s="183">
        <v>20</v>
      </c>
      <c r="F22" s="183">
        <v>20</v>
      </c>
      <c r="G22" s="183">
        <v>20</v>
      </c>
      <c r="H22" s="183">
        <v>20</v>
      </c>
      <c r="I22" s="183">
        <v>20</v>
      </c>
      <c r="J22" s="183">
        <v>20</v>
      </c>
      <c r="K22" s="183">
        <v>20</v>
      </c>
      <c r="L22" s="183">
        <v>20</v>
      </c>
      <c r="M22" s="183">
        <v>20</v>
      </c>
      <c r="N22" s="183">
        <f t="shared" ref="N22:N38" si="4">SUM(B22:M22)</f>
        <v>2500</v>
      </c>
    </row>
    <row r="23" spans="1:14" x14ac:dyDescent="0.2">
      <c r="A23" s="182" t="s">
        <v>365</v>
      </c>
      <c r="B23" s="155">
        <v>0</v>
      </c>
      <c r="C23" s="155">
        <v>500</v>
      </c>
      <c r="D23" s="155">
        <v>0</v>
      </c>
      <c r="E23" s="155">
        <v>0</v>
      </c>
      <c r="F23" s="155">
        <v>0</v>
      </c>
      <c r="G23" s="155">
        <v>0</v>
      </c>
      <c r="H23" s="155">
        <v>0</v>
      </c>
      <c r="I23" s="155">
        <v>0</v>
      </c>
      <c r="J23" s="155">
        <v>0</v>
      </c>
      <c r="K23" s="155">
        <v>0</v>
      </c>
      <c r="L23" s="155">
        <v>0</v>
      </c>
      <c r="M23" s="155">
        <v>0</v>
      </c>
      <c r="N23" s="183">
        <f t="shared" si="4"/>
        <v>500</v>
      </c>
    </row>
    <row r="24" spans="1:14" x14ac:dyDescent="0.2">
      <c r="A24" s="182" t="s">
        <v>389</v>
      </c>
      <c r="B24" s="155">
        <v>0</v>
      </c>
      <c r="C24" s="155">
        <v>0</v>
      </c>
      <c r="D24" s="155">
        <v>0</v>
      </c>
      <c r="E24" s="155">
        <v>0</v>
      </c>
      <c r="F24" s="155">
        <v>0</v>
      </c>
      <c r="G24" s="155">
        <v>0</v>
      </c>
      <c r="H24" s="155">
        <v>0</v>
      </c>
      <c r="I24" s="155">
        <v>0</v>
      </c>
      <c r="J24" s="155">
        <v>0</v>
      </c>
      <c r="K24" s="155">
        <v>0</v>
      </c>
      <c r="L24" s="155">
        <v>0</v>
      </c>
      <c r="M24" s="155">
        <v>0</v>
      </c>
      <c r="N24" s="183">
        <f t="shared" si="4"/>
        <v>0</v>
      </c>
    </row>
    <row r="25" spans="1:14" x14ac:dyDescent="0.2">
      <c r="A25" s="182" t="s">
        <v>344</v>
      </c>
      <c r="B25" s="155">
        <v>0</v>
      </c>
      <c r="C25" s="155">
        <v>200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5">
        <v>0</v>
      </c>
      <c r="M25" s="155">
        <v>0</v>
      </c>
      <c r="N25" s="183">
        <f t="shared" si="4"/>
        <v>200</v>
      </c>
    </row>
    <row r="26" spans="1:14" x14ac:dyDescent="0.2">
      <c r="A26" s="182" t="s">
        <v>353</v>
      </c>
      <c r="B26" s="183">
        <v>0</v>
      </c>
      <c r="C26" s="183">
        <v>0</v>
      </c>
      <c r="D26" s="183">
        <v>0</v>
      </c>
      <c r="E26" s="183">
        <v>0</v>
      </c>
      <c r="F26" s="183">
        <v>0</v>
      </c>
      <c r="G26" s="183">
        <v>0</v>
      </c>
      <c r="H26" s="183">
        <v>0</v>
      </c>
      <c r="I26" s="183">
        <v>0</v>
      </c>
      <c r="J26" s="183">
        <v>0</v>
      </c>
      <c r="K26" s="183">
        <v>0</v>
      </c>
      <c r="L26" s="183">
        <v>0</v>
      </c>
      <c r="M26" s="183">
        <v>0</v>
      </c>
      <c r="N26" s="183">
        <f t="shared" si="4"/>
        <v>0</v>
      </c>
    </row>
    <row r="27" spans="1:14" x14ac:dyDescent="0.2">
      <c r="A27" s="182" t="s">
        <v>27</v>
      </c>
      <c r="B27" s="155">
        <v>100</v>
      </c>
      <c r="C27" s="155">
        <v>100</v>
      </c>
      <c r="D27" s="155">
        <v>100</v>
      </c>
      <c r="E27" s="155">
        <v>100</v>
      </c>
      <c r="F27" s="155">
        <v>100</v>
      </c>
      <c r="G27" s="155">
        <v>100</v>
      </c>
      <c r="H27" s="155">
        <v>100</v>
      </c>
      <c r="I27" s="155">
        <v>100</v>
      </c>
      <c r="J27" s="155">
        <v>100</v>
      </c>
      <c r="K27" s="155">
        <v>100</v>
      </c>
      <c r="L27" s="155">
        <v>100</v>
      </c>
      <c r="M27" s="155">
        <v>100</v>
      </c>
      <c r="N27" s="183">
        <f t="shared" si="4"/>
        <v>1200</v>
      </c>
    </row>
    <row r="28" spans="1:14" x14ac:dyDescent="0.2">
      <c r="A28" s="182" t="s">
        <v>212</v>
      </c>
      <c r="B28" s="183">
        <v>131</v>
      </c>
      <c r="C28" s="183">
        <v>131</v>
      </c>
      <c r="D28" s="183">
        <v>131</v>
      </c>
      <c r="E28" s="183">
        <v>131</v>
      </c>
      <c r="F28" s="183">
        <v>131</v>
      </c>
      <c r="G28" s="183">
        <v>131</v>
      </c>
      <c r="H28" s="183">
        <v>131</v>
      </c>
      <c r="I28" s="183">
        <v>131</v>
      </c>
      <c r="J28" s="183">
        <v>131</v>
      </c>
      <c r="K28" s="183">
        <v>131</v>
      </c>
      <c r="L28" s="183">
        <v>131</v>
      </c>
      <c r="M28" s="183">
        <v>131</v>
      </c>
      <c r="N28" s="183">
        <f t="shared" si="4"/>
        <v>1572</v>
      </c>
    </row>
    <row r="29" spans="1:14" x14ac:dyDescent="0.2">
      <c r="A29" s="182" t="s">
        <v>213</v>
      </c>
      <c r="B29" s="183">
        <v>20</v>
      </c>
      <c r="C29" s="183">
        <v>20</v>
      </c>
      <c r="D29" s="183">
        <v>20</v>
      </c>
      <c r="E29" s="183">
        <v>20</v>
      </c>
      <c r="F29" s="183">
        <v>20</v>
      </c>
      <c r="G29" s="183">
        <v>20</v>
      </c>
      <c r="H29" s="183">
        <v>20</v>
      </c>
      <c r="I29" s="183">
        <v>20</v>
      </c>
      <c r="J29" s="183">
        <v>20</v>
      </c>
      <c r="K29" s="183">
        <v>20</v>
      </c>
      <c r="L29" s="183">
        <v>20</v>
      </c>
      <c r="M29" s="183">
        <v>20</v>
      </c>
      <c r="N29" s="183">
        <f t="shared" si="4"/>
        <v>240</v>
      </c>
    </row>
    <row r="30" spans="1:14" x14ac:dyDescent="0.2">
      <c r="A30" s="182" t="s">
        <v>214</v>
      </c>
      <c r="B30" s="183">
        <v>250</v>
      </c>
      <c r="C30" s="183">
        <v>3000</v>
      </c>
      <c r="D30" s="183">
        <v>2500</v>
      </c>
      <c r="E30" s="183">
        <v>50</v>
      </c>
      <c r="F30" s="183">
        <v>150</v>
      </c>
      <c r="G30" s="183">
        <v>200</v>
      </c>
      <c r="H30" s="183">
        <v>50</v>
      </c>
      <c r="I30" s="183">
        <v>75</v>
      </c>
      <c r="J30" s="183">
        <v>75</v>
      </c>
      <c r="K30" s="183">
        <v>50</v>
      </c>
      <c r="L30" s="183">
        <v>25</v>
      </c>
      <c r="M30" s="183">
        <v>0</v>
      </c>
      <c r="N30" s="183">
        <f t="shared" si="4"/>
        <v>6425</v>
      </c>
    </row>
    <row r="31" spans="1:14" x14ac:dyDescent="0.2">
      <c r="A31" s="182" t="s">
        <v>264</v>
      </c>
      <c r="B31" s="183">
        <v>2015.1825269971409</v>
      </c>
      <c r="C31" s="183">
        <v>2381.2447652601481</v>
      </c>
      <c r="D31" s="183">
        <v>2438.5570035231558</v>
      </c>
      <c r="E31" s="183">
        <v>2310.619241786163</v>
      </c>
      <c r="F31" s="183">
        <v>2424.9314800491707</v>
      </c>
      <c r="G31" s="183">
        <v>2115.2447652601481</v>
      </c>
      <c r="H31" s="183">
        <v>2415.4314800491707</v>
      </c>
      <c r="I31" s="183">
        <v>2312.994241786163</v>
      </c>
      <c r="J31" s="183">
        <v>2208.1820035231558</v>
      </c>
      <c r="K31" s="183">
        <v>2415.4314800491707</v>
      </c>
      <c r="L31" s="183">
        <v>2203.4320035231558</v>
      </c>
      <c r="M31" s="183">
        <v>2305.869241786163</v>
      </c>
      <c r="N31" s="183">
        <f t="shared" si="4"/>
        <v>27547.120233592908</v>
      </c>
    </row>
    <row r="32" spans="1:14" x14ac:dyDescent="0.2">
      <c r="A32" s="182" t="s">
        <v>267</v>
      </c>
      <c r="B32" s="183">
        <v>154.73694180678905</v>
      </c>
      <c r="C32" s="183">
        <v>188.88099137556742</v>
      </c>
      <c r="D32" s="183">
        <v>192.15004094434579</v>
      </c>
      <c r="E32" s="183">
        <v>176.89409051312415</v>
      </c>
      <c r="F32" s="183">
        <v>185.86314008190254</v>
      </c>
      <c r="G32" s="183">
        <v>162.28099137556742</v>
      </c>
      <c r="H32" s="183">
        <v>184.91314008190253</v>
      </c>
      <c r="I32" s="183">
        <v>177.13159051312417</v>
      </c>
      <c r="J32" s="183">
        <v>169.1125409443458</v>
      </c>
      <c r="K32" s="183">
        <v>184.91314008190253</v>
      </c>
      <c r="L32" s="183">
        <v>168.6375409443458</v>
      </c>
      <c r="M32" s="183">
        <v>176.41909051312416</v>
      </c>
      <c r="N32" s="183">
        <f t="shared" si="4"/>
        <v>2121.9332391760413</v>
      </c>
    </row>
    <row r="33" spans="1:14" x14ac:dyDescent="0.2">
      <c r="A33" s="217" t="s">
        <v>270</v>
      </c>
      <c r="B33" s="183">
        <v>1600.2165712386513</v>
      </c>
      <c r="C33" s="183">
        <v>1368.0071802512118</v>
      </c>
      <c r="D33" s="183">
        <v>1436.4075392637724</v>
      </c>
      <c r="E33" s="183">
        <v>1504.8078982763329</v>
      </c>
      <c r="F33" s="183">
        <v>1573.2082572888935</v>
      </c>
      <c r="G33" s="183">
        <v>1368.0071802512118</v>
      </c>
      <c r="H33" s="183">
        <v>1573.2082572888935</v>
      </c>
      <c r="I33" s="183">
        <v>1504.8078982763329</v>
      </c>
      <c r="J33" s="183">
        <v>1436.4075392637724</v>
      </c>
      <c r="K33" s="183">
        <v>1573.2082572888935</v>
      </c>
      <c r="L33" s="183">
        <v>1436.4075392637724</v>
      </c>
      <c r="M33" s="183">
        <v>1504.8078982763329</v>
      </c>
      <c r="N33" s="183">
        <f t="shared" si="4"/>
        <v>17879.502016228071</v>
      </c>
    </row>
    <row r="34" spans="1:14" x14ac:dyDescent="0.2">
      <c r="A34" s="182" t="s">
        <v>274</v>
      </c>
      <c r="B34" s="183">
        <v>886.96967234922192</v>
      </c>
      <c r="C34" s="183">
        <v>453.39518142023354</v>
      </c>
      <c r="D34" s="183">
        <v>459.81494049124518</v>
      </c>
      <c r="E34" s="183">
        <v>417.48469956225688</v>
      </c>
      <c r="F34" s="183">
        <v>438.90445863326858</v>
      </c>
      <c r="G34" s="183">
        <v>383.39518142023354</v>
      </c>
      <c r="H34" s="183">
        <v>436.40445863326858</v>
      </c>
      <c r="I34" s="183">
        <v>418.10969956225688</v>
      </c>
      <c r="J34" s="183">
        <v>399.18994049124518</v>
      </c>
      <c r="K34" s="183">
        <v>436.40445863326858</v>
      </c>
      <c r="L34" s="183">
        <v>397.93994049124518</v>
      </c>
      <c r="M34" s="183">
        <v>416.23469956225688</v>
      </c>
      <c r="N34" s="183">
        <f t="shared" si="4"/>
        <v>5544.2473312500006</v>
      </c>
    </row>
    <row r="35" spans="1:14" x14ac:dyDescent="0.2">
      <c r="A35" s="217" t="s">
        <v>220</v>
      </c>
      <c r="B35" s="183">
        <v>141.58000000000001</v>
      </c>
      <c r="C35" s="183">
        <v>141.58000000000001</v>
      </c>
      <c r="D35" s="183">
        <v>141.58000000000001</v>
      </c>
      <c r="E35" s="183">
        <v>141.58000000000001</v>
      </c>
      <c r="F35" s="183">
        <v>141.58000000000001</v>
      </c>
      <c r="G35" s="183">
        <v>141.58000000000001</v>
      </c>
      <c r="H35" s="183">
        <v>141.58000000000001</v>
      </c>
      <c r="I35" s="183">
        <v>141.58000000000001</v>
      </c>
      <c r="J35" s="183">
        <v>141.58000000000001</v>
      </c>
      <c r="K35" s="183">
        <v>141.58000000000001</v>
      </c>
      <c r="L35" s="183">
        <v>141.58000000000001</v>
      </c>
      <c r="M35" s="183">
        <v>141.58000000000001</v>
      </c>
      <c r="N35" s="183">
        <f t="shared" si="4"/>
        <v>1698.9599999999998</v>
      </c>
    </row>
    <row r="36" spans="1:14" x14ac:dyDescent="0.2">
      <c r="A36" s="217" t="s">
        <v>275</v>
      </c>
      <c r="B36" s="183">
        <v>0</v>
      </c>
      <c r="C36" s="183">
        <v>0</v>
      </c>
      <c r="D36" s="183">
        <v>0</v>
      </c>
      <c r="E36" s="183">
        <v>0</v>
      </c>
      <c r="F36" s="183">
        <v>0</v>
      </c>
      <c r="G36" s="183">
        <v>0</v>
      </c>
      <c r="H36" s="183">
        <v>0</v>
      </c>
      <c r="I36" s="183">
        <v>0</v>
      </c>
      <c r="J36" s="183">
        <v>0</v>
      </c>
      <c r="K36" s="183">
        <v>0</v>
      </c>
      <c r="L36" s="183">
        <v>0</v>
      </c>
      <c r="M36" s="183">
        <v>0</v>
      </c>
      <c r="N36" s="183">
        <f t="shared" si="4"/>
        <v>0</v>
      </c>
    </row>
    <row r="37" spans="1:14" x14ac:dyDescent="0.2">
      <c r="A37" s="217" t="s">
        <v>221</v>
      </c>
      <c r="B37" s="183">
        <v>28.93</v>
      </c>
      <c r="C37" s="183">
        <v>28.93</v>
      </c>
      <c r="D37" s="183">
        <v>28.93</v>
      </c>
      <c r="E37" s="183">
        <v>28.93</v>
      </c>
      <c r="F37" s="183">
        <v>28.93</v>
      </c>
      <c r="G37" s="183">
        <v>28.93</v>
      </c>
      <c r="H37" s="183">
        <v>28.93</v>
      </c>
      <c r="I37" s="183">
        <v>28.93</v>
      </c>
      <c r="J37" s="183">
        <v>28.93</v>
      </c>
      <c r="K37" s="183">
        <v>28.93</v>
      </c>
      <c r="L37" s="183">
        <v>28.93</v>
      </c>
      <c r="M37" s="183">
        <v>28.93</v>
      </c>
      <c r="N37" s="183">
        <f t="shared" si="4"/>
        <v>347.16</v>
      </c>
    </row>
    <row r="38" spans="1:14" x14ac:dyDescent="0.2">
      <c r="A38" s="217" t="s">
        <v>375</v>
      </c>
      <c r="B38" s="183">
        <v>0</v>
      </c>
      <c r="C38" s="183">
        <v>0</v>
      </c>
      <c r="D38" s="183">
        <v>0</v>
      </c>
      <c r="E38" s="183">
        <v>0</v>
      </c>
      <c r="F38" s="183">
        <v>0</v>
      </c>
      <c r="G38" s="183">
        <v>0</v>
      </c>
      <c r="H38" s="183">
        <v>0</v>
      </c>
      <c r="I38" s="183">
        <v>0</v>
      </c>
      <c r="J38" s="183">
        <v>0</v>
      </c>
      <c r="K38" s="183">
        <v>0</v>
      </c>
      <c r="L38" s="183">
        <v>0</v>
      </c>
      <c r="M38" s="183">
        <v>0</v>
      </c>
      <c r="N38" s="183">
        <f t="shared" si="4"/>
        <v>0</v>
      </c>
    </row>
    <row r="39" spans="1:14" x14ac:dyDescent="0.2">
      <c r="A39" s="184" t="s">
        <v>196</v>
      </c>
      <c r="B39" s="185">
        <f t="shared" ref="B39:N39" si="5">SUM(B22:B38)</f>
        <v>5348.6157123918038</v>
      </c>
      <c r="C39" s="185">
        <f t="shared" si="5"/>
        <v>10793.03811830716</v>
      </c>
      <c r="D39" s="185">
        <f t="shared" si="5"/>
        <v>7468.43952422252</v>
      </c>
      <c r="E39" s="185">
        <f t="shared" si="5"/>
        <v>4901.3159301378764</v>
      </c>
      <c r="F39" s="185">
        <f t="shared" si="5"/>
        <v>5214.4173360532359</v>
      </c>
      <c r="G39" s="185">
        <f t="shared" si="5"/>
        <v>4670.4381183071609</v>
      </c>
      <c r="H39" s="185">
        <f t="shared" si="5"/>
        <v>5101.4673360532352</v>
      </c>
      <c r="I39" s="185">
        <f t="shared" si="5"/>
        <v>4929.5534301378766</v>
      </c>
      <c r="J39" s="185">
        <f t="shared" si="5"/>
        <v>4729.4020242225197</v>
      </c>
      <c r="K39" s="185">
        <f t="shared" si="5"/>
        <v>5101.4673360532352</v>
      </c>
      <c r="L39" s="185">
        <f t="shared" si="5"/>
        <v>4672.9270242225193</v>
      </c>
      <c r="M39" s="185">
        <f t="shared" si="5"/>
        <v>4844.840930137877</v>
      </c>
      <c r="N39" s="185">
        <f t="shared" si="5"/>
        <v>67775.922820247026</v>
      </c>
    </row>
    <row r="40" spans="1:14" x14ac:dyDescent="0.2">
      <c r="A40" s="181" t="s">
        <v>222</v>
      </c>
      <c r="B40" s="180"/>
      <c r="C40" s="180"/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</row>
    <row r="41" spans="1:14" x14ac:dyDescent="0.2">
      <c r="A41" s="182" t="s">
        <v>223</v>
      </c>
      <c r="B41" s="183">
        <v>9200.6998902723735</v>
      </c>
      <c r="C41" s="183">
        <v>9684.9472529182876</v>
      </c>
      <c r="D41" s="183">
        <v>10169.194615564202</v>
      </c>
      <c r="E41" s="183">
        <v>10653.441978210116</v>
      </c>
      <c r="F41" s="183">
        <v>11137.68934085603</v>
      </c>
      <c r="G41" s="183">
        <v>9684.9472529182876</v>
      </c>
      <c r="H41" s="183">
        <v>11137.68934085603</v>
      </c>
      <c r="I41" s="183">
        <v>10653.441978210116</v>
      </c>
      <c r="J41" s="183">
        <v>10169.194615564202</v>
      </c>
      <c r="K41" s="183">
        <v>11137.68934085603</v>
      </c>
      <c r="L41" s="183">
        <v>10169.194615564202</v>
      </c>
      <c r="M41" s="183">
        <v>11856.961308210115</v>
      </c>
      <c r="N41" s="183">
        <f t="shared" ref="N41:N46" si="6">SUM(B41:M41)</f>
        <v>125655.09153000001</v>
      </c>
    </row>
    <row r="42" spans="1:14" x14ac:dyDescent="0.2">
      <c r="A42" s="182" t="s">
        <v>390</v>
      </c>
      <c r="B42" s="183">
        <v>0</v>
      </c>
      <c r="C42" s="183">
        <v>4480</v>
      </c>
      <c r="D42" s="183">
        <v>1120</v>
      </c>
      <c r="E42" s="183">
        <v>0</v>
      </c>
      <c r="F42" s="183">
        <v>0</v>
      </c>
      <c r="G42" s="183">
        <v>0</v>
      </c>
      <c r="H42" s="183">
        <v>2800</v>
      </c>
      <c r="I42" s="183">
        <v>0</v>
      </c>
      <c r="J42" s="183">
        <v>0</v>
      </c>
      <c r="K42" s="183">
        <v>0</v>
      </c>
      <c r="L42" s="183">
        <v>0</v>
      </c>
      <c r="M42" s="183">
        <v>0</v>
      </c>
      <c r="N42" s="183">
        <f t="shared" si="6"/>
        <v>8400</v>
      </c>
    </row>
    <row r="43" spans="1:14" x14ac:dyDescent="0.2">
      <c r="A43" s="182" t="s">
        <v>224</v>
      </c>
      <c r="B43" s="183">
        <v>1923.2964453539623</v>
      </c>
      <c r="C43" s="183">
        <v>2552.6025740568025</v>
      </c>
      <c r="D43" s="183">
        <v>2257.7687027596426</v>
      </c>
      <c r="E43" s="183">
        <v>2226.9748314624826</v>
      </c>
      <c r="F43" s="183">
        <v>2328.2009601653226</v>
      </c>
      <c r="G43" s="183">
        <v>2024.5225740568023</v>
      </c>
      <c r="H43" s="183">
        <v>2672.6009601653227</v>
      </c>
      <c r="I43" s="183">
        <v>2226.9748314624826</v>
      </c>
      <c r="J43" s="183">
        <v>2125.7487027596426</v>
      </c>
      <c r="K43" s="183">
        <v>2328.2009601653226</v>
      </c>
      <c r="L43" s="183">
        <v>2125.7487027596426</v>
      </c>
      <c r="M43" s="183">
        <v>2437.5907142124825</v>
      </c>
      <c r="N43" s="183">
        <f t="shared" si="6"/>
        <v>27230.230959379911</v>
      </c>
    </row>
    <row r="44" spans="1:14" x14ac:dyDescent="0.2">
      <c r="A44" s="182" t="s">
        <v>225</v>
      </c>
      <c r="B44" s="183">
        <v>97.491818223775468</v>
      </c>
      <c r="C44" s="183">
        <v>146.24696655134261</v>
      </c>
      <c r="D44" s="183">
        <v>118.66011487890974</v>
      </c>
      <c r="E44" s="183">
        <v>112.88526320647685</v>
      </c>
      <c r="F44" s="183">
        <v>118.01641153404398</v>
      </c>
      <c r="G44" s="183">
        <v>102.6229665513426</v>
      </c>
      <c r="H44" s="183">
        <v>145.28141153404397</v>
      </c>
      <c r="I44" s="183">
        <v>112.88526320647685</v>
      </c>
      <c r="J44" s="183">
        <v>107.75411487890973</v>
      </c>
      <c r="K44" s="183">
        <v>118.01641153404398</v>
      </c>
      <c r="L44" s="183">
        <v>107.75411487890973</v>
      </c>
      <c r="M44" s="183">
        <v>112.88526320647685</v>
      </c>
      <c r="N44" s="183">
        <f t="shared" si="6"/>
        <v>1400.5001201847526</v>
      </c>
    </row>
    <row r="45" spans="1:14" x14ac:dyDescent="0.2">
      <c r="A45" s="182" t="s">
        <v>226</v>
      </c>
      <c r="B45" s="183">
        <v>964.86526760507854</v>
      </c>
      <c r="C45" s="183">
        <v>875.34659747902992</v>
      </c>
      <c r="D45" s="183">
        <v>919.11392735298148</v>
      </c>
      <c r="E45" s="183">
        <v>962.88125722693292</v>
      </c>
      <c r="F45" s="183">
        <v>1006.6485871008845</v>
      </c>
      <c r="G45" s="183">
        <v>875.34659747902992</v>
      </c>
      <c r="H45" s="183">
        <v>1006.6485871008845</v>
      </c>
      <c r="I45" s="183">
        <v>962.88125722693292</v>
      </c>
      <c r="J45" s="183">
        <v>919.11392735298148</v>
      </c>
      <c r="K45" s="183">
        <v>1006.6485871008845</v>
      </c>
      <c r="L45" s="183">
        <v>919.11392735298148</v>
      </c>
      <c r="M45" s="183">
        <v>962.88125722693292</v>
      </c>
      <c r="N45" s="183">
        <f t="shared" si="6"/>
        <v>11381.489777605533</v>
      </c>
    </row>
    <row r="46" spans="1:14" x14ac:dyDescent="0.2">
      <c r="A46" s="182" t="s">
        <v>227</v>
      </c>
      <c r="B46" s="183">
        <v>672.75924725680943</v>
      </c>
      <c r="C46" s="183">
        <v>354.12368132295722</v>
      </c>
      <c r="D46" s="183">
        <v>282.22986538910504</v>
      </c>
      <c r="E46" s="183">
        <v>266.33604945525292</v>
      </c>
      <c r="F46" s="183">
        <v>278.44223352140079</v>
      </c>
      <c r="G46" s="183">
        <v>242.12368132295722</v>
      </c>
      <c r="H46" s="183">
        <v>348.44223352140079</v>
      </c>
      <c r="I46" s="183">
        <v>266.33604945525292</v>
      </c>
      <c r="J46" s="183">
        <v>254.22986538910507</v>
      </c>
      <c r="K46" s="183">
        <v>278.44223352140079</v>
      </c>
      <c r="L46" s="183">
        <v>254.22986538910507</v>
      </c>
      <c r="M46" s="183">
        <v>266.33604945525292</v>
      </c>
      <c r="N46" s="183">
        <f t="shared" si="6"/>
        <v>3764.0310550000008</v>
      </c>
    </row>
    <row r="47" spans="1:14" x14ac:dyDescent="0.2">
      <c r="A47" s="184" t="s">
        <v>228</v>
      </c>
      <c r="B47" s="185">
        <f t="shared" ref="B47:N47" si="7">SUM(B41:B46)</f>
        <v>12859.112668712001</v>
      </c>
      <c r="C47" s="185">
        <f t="shared" si="7"/>
        <v>18093.267072328421</v>
      </c>
      <c r="D47" s="185">
        <f t="shared" si="7"/>
        <v>14866.96722594484</v>
      </c>
      <c r="E47" s="185">
        <f t="shared" si="7"/>
        <v>14222.519379561261</v>
      </c>
      <c r="F47" s="185">
        <f t="shared" si="7"/>
        <v>14868.99753317768</v>
      </c>
      <c r="G47" s="185">
        <f t="shared" si="7"/>
        <v>12929.563072328419</v>
      </c>
      <c r="H47" s="185">
        <f t="shared" si="7"/>
        <v>18110.662533177681</v>
      </c>
      <c r="I47" s="185">
        <f t="shared" si="7"/>
        <v>14222.519379561261</v>
      </c>
      <c r="J47" s="185">
        <f t="shared" si="7"/>
        <v>13576.041225944839</v>
      </c>
      <c r="K47" s="185">
        <f t="shared" si="7"/>
        <v>14868.99753317768</v>
      </c>
      <c r="L47" s="185">
        <f t="shared" si="7"/>
        <v>13576.041225944839</v>
      </c>
      <c r="M47" s="185">
        <f t="shared" si="7"/>
        <v>15636.654592311261</v>
      </c>
      <c r="N47" s="185">
        <f t="shared" si="7"/>
        <v>177831.34344217021</v>
      </c>
    </row>
    <row r="48" spans="1:14" x14ac:dyDescent="0.2">
      <c r="A48" s="186" t="s">
        <v>197</v>
      </c>
      <c r="B48" s="185">
        <f t="shared" ref="B48:N48" si="8">SUM(B39,B47)</f>
        <v>18207.728381103807</v>
      </c>
      <c r="C48" s="185">
        <f t="shared" si="8"/>
        <v>28886.305190635583</v>
      </c>
      <c r="D48" s="185">
        <f t="shared" si="8"/>
        <v>22335.40675016736</v>
      </c>
      <c r="E48" s="185">
        <f t="shared" si="8"/>
        <v>19123.835309699138</v>
      </c>
      <c r="F48" s="185">
        <f t="shared" si="8"/>
        <v>20083.414869230917</v>
      </c>
      <c r="G48" s="185">
        <f t="shared" si="8"/>
        <v>17600.001190635579</v>
      </c>
      <c r="H48" s="185">
        <f t="shared" si="8"/>
        <v>23212.129869230917</v>
      </c>
      <c r="I48" s="185">
        <f t="shared" si="8"/>
        <v>19152.072809699137</v>
      </c>
      <c r="J48" s="185">
        <f t="shared" si="8"/>
        <v>18305.443250167358</v>
      </c>
      <c r="K48" s="185">
        <f t="shared" si="8"/>
        <v>19970.464869230917</v>
      </c>
      <c r="L48" s="185">
        <f t="shared" si="8"/>
        <v>18248.96825016736</v>
      </c>
      <c r="M48" s="185">
        <f t="shared" si="8"/>
        <v>20481.495522449139</v>
      </c>
      <c r="N48" s="185">
        <f t="shared" si="8"/>
        <v>245607.26626241725</v>
      </c>
    </row>
    <row r="49" spans="1:15" x14ac:dyDescent="0.2">
      <c r="A49" s="188" t="s">
        <v>198</v>
      </c>
      <c r="B49" s="189">
        <f t="shared" ref="B49:N49" si="9">B19-B48</f>
        <v>-15457.728381103807</v>
      </c>
      <c r="C49" s="189">
        <f t="shared" si="9"/>
        <v>-23036.305190635583</v>
      </c>
      <c r="D49" s="189">
        <f t="shared" si="9"/>
        <v>-19435.40675016736</v>
      </c>
      <c r="E49" s="189">
        <f t="shared" si="9"/>
        <v>-15423.835309699138</v>
      </c>
      <c r="F49" s="189">
        <f t="shared" si="9"/>
        <v>-14833.414869230917</v>
      </c>
      <c r="G49" s="189">
        <f t="shared" si="9"/>
        <v>-14850.001190635579</v>
      </c>
      <c r="H49" s="189">
        <f t="shared" si="9"/>
        <v>-20212.129869230917</v>
      </c>
      <c r="I49" s="189">
        <f t="shared" si="9"/>
        <v>-14652.072809699137</v>
      </c>
      <c r="J49" s="189">
        <f t="shared" si="9"/>
        <v>-16255.443250167358</v>
      </c>
      <c r="K49" s="189">
        <f t="shared" si="9"/>
        <v>-17970.464869230917</v>
      </c>
      <c r="L49" s="189">
        <f t="shared" si="9"/>
        <v>-10998.96825016736</v>
      </c>
      <c r="M49" s="189">
        <f t="shared" si="9"/>
        <v>-17731.495522449139</v>
      </c>
      <c r="N49" s="189">
        <f t="shared" si="9"/>
        <v>-200857.26626241725</v>
      </c>
    </row>
    <row r="50" spans="1:15" x14ac:dyDescent="0.2">
      <c r="A50" s="179" t="s">
        <v>199</v>
      </c>
      <c r="B50" s="180"/>
      <c r="C50" s="180"/>
      <c r="D50" s="180"/>
      <c r="E50" s="180"/>
      <c r="F50" s="180"/>
      <c r="G50" s="180"/>
      <c r="H50" s="180"/>
      <c r="I50" s="180"/>
      <c r="J50" s="180"/>
      <c r="K50" s="180"/>
      <c r="L50" s="180"/>
      <c r="M50" s="180"/>
      <c r="N50" s="180"/>
    </row>
    <row r="51" spans="1:15" x14ac:dyDescent="0.2">
      <c r="A51" s="181" t="s">
        <v>202</v>
      </c>
      <c r="B51" s="180"/>
      <c r="C51" s="180"/>
      <c r="D51" s="180"/>
      <c r="E51" s="180"/>
      <c r="F51" s="180"/>
      <c r="G51" s="180"/>
      <c r="H51" s="180"/>
      <c r="I51" s="180"/>
      <c r="J51" s="180"/>
      <c r="K51" s="180"/>
      <c r="L51" s="180"/>
      <c r="M51" s="180"/>
      <c r="N51" s="180"/>
    </row>
    <row r="52" spans="1:15" x14ac:dyDescent="0.2">
      <c r="A52" s="182" t="s">
        <v>391</v>
      </c>
      <c r="B52" s="336">
        <v>850</v>
      </c>
      <c r="C52" s="336">
        <v>7300</v>
      </c>
      <c r="D52" s="336">
        <v>1800</v>
      </c>
      <c r="E52" s="336">
        <v>2000</v>
      </c>
      <c r="F52" s="336">
        <v>1000</v>
      </c>
      <c r="G52" s="336">
        <v>700</v>
      </c>
      <c r="H52" s="336">
        <v>5000</v>
      </c>
      <c r="I52" s="336">
        <v>2000</v>
      </c>
      <c r="J52" s="336">
        <v>1000</v>
      </c>
      <c r="K52" s="336">
        <v>500</v>
      </c>
      <c r="L52" s="336">
        <v>500</v>
      </c>
      <c r="M52" s="336">
        <v>500</v>
      </c>
      <c r="N52" s="183">
        <f>SUM(B52:M52)</f>
        <v>23150</v>
      </c>
      <c r="O52" s="73" t="s">
        <v>392</v>
      </c>
    </row>
    <row r="53" spans="1:15" x14ac:dyDescent="0.2">
      <c r="A53" s="182" t="s">
        <v>393</v>
      </c>
      <c r="B53" s="155">
        <v>0</v>
      </c>
      <c r="C53" s="155">
        <v>0</v>
      </c>
      <c r="D53" s="155">
        <v>0</v>
      </c>
      <c r="E53" s="155">
        <v>0</v>
      </c>
      <c r="F53" s="155">
        <v>0</v>
      </c>
      <c r="G53" s="155">
        <v>0</v>
      </c>
      <c r="H53" s="155">
        <v>0</v>
      </c>
      <c r="I53" s="155">
        <v>0</v>
      </c>
      <c r="J53" s="155">
        <v>0</v>
      </c>
      <c r="K53" s="155">
        <v>0</v>
      </c>
      <c r="L53" s="155">
        <v>0</v>
      </c>
      <c r="M53" s="155">
        <v>0</v>
      </c>
      <c r="N53" s="183">
        <f>SUM(B53:M53)</f>
        <v>0</v>
      </c>
    </row>
    <row r="54" spans="1:15" x14ac:dyDescent="0.2">
      <c r="A54" s="182" t="s">
        <v>230</v>
      </c>
      <c r="B54" s="155">
        <v>0</v>
      </c>
      <c r="C54" s="155">
        <v>0</v>
      </c>
      <c r="D54" s="155">
        <v>0</v>
      </c>
      <c r="E54" s="155">
        <v>0</v>
      </c>
      <c r="F54" s="155">
        <v>0</v>
      </c>
      <c r="G54" s="155">
        <v>0</v>
      </c>
      <c r="H54" s="155">
        <v>0</v>
      </c>
      <c r="I54" s="155">
        <v>0</v>
      </c>
      <c r="J54" s="155">
        <v>0</v>
      </c>
      <c r="K54" s="155">
        <v>0</v>
      </c>
      <c r="L54" s="155">
        <v>0</v>
      </c>
      <c r="M54" s="155">
        <v>0</v>
      </c>
      <c r="N54" s="183">
        <f>SUM(B54:M54)</f>
        <v>0</v>
      </c>
    </row>
    <row r="55" spans="1:15" x14ac:dyDescent="0.2">
      <c r="A55" s="184" t="s">
        <v>203</v>
      </c>
      <c r="B55" s="185">
        <f t="shared" ref="B55:N55" si="10">SUM(B52:B54)</f>
        <v>850</v>
      </c>
      <c r="C55" s="185">
        <f t="shared" si="10"/>
        <v>7300</v>
      </c>
      <c r="D55" s="185">
        <f t="shared" si="10"/>
        <v>1800</v>
      </c>
      <c r="E55" s="185">
        <f t="shared" si="10"/>
        <v>2000</v>
      </c>
      <c r="F55" s="185">
        <f t="shared" si="10"/>
        <v>1000</v>
      </c>
      <c r="G55" s="185">
        <f t="shared" si="10"/>
        <v>700</v>
      </c>
      <c r="H55" s="185">
        <f t="shared" si="10"/>
        <v>5000</v>
      </c>
      <c r="I55" s="185">
        <f t="shared" si="10"/>
        <v>2000</v>
      </c>
      <c r="J55" s="185">
        <f t="shared" si="10"/>
        <v>1000</v>
      </c>
      <c r="K55" s="185">
        <f t="shared" si="10"/>
        <v>500</v>
      </c>
      <c r="L55" s="185">
        <f t="shared" si="10"/>
        <v>500</v>
      </c>
      <c r="M55" s="185">
        <f t="shared" si="10"/>
        <v>500</v>
      </c>
      <c r="N55" s="185">
        <f t="shared" si="10"/>
        <v>23150</v>
      </c>
    </row>
    <row r="56" spans="1:15" x14ac:dyDescent="0.2">
      <c r="A56" s="186" t="s">
        <v>206</v>
      </c>
      <c r="B56" s="185">
        <f t="shared" ref="B56:N56" si="11">SUM(B55)</f>
        <v>850</v>
      </c>
      <c r="C56" s="185">
        <f t="shared" si="11"/>
        <v>7300</v>
      </c>
      <c r="D56" s="185">
        <f t="shared" si="11"/>
        <v>1800</v>
      </c>
      <c r="E56" s="185">
        <f t="shared" si="11"/>
        <v>2000</v>
      </c>
      <c r="F56" s="185">
        <f t="shared" si="11"/>
        <v>1000</v>
      </c>
      <c r="G56" s="185">
        <f t="shared" si="11"/>
        <v>700</v>
      </c>
      <c r="H56" s="185">
        <f t="shared" si="11"/>
        <v>5000</v>
      </c>
      <c r="I56" s="185">
        <f t="shared" si="11"/>
        <v>2000</v>
      </c>
      <c r="J56" s="185">
        <f t="shared" si="11"/>
        <v>1000</v>
      </c>
      <c r="K56" s="185">
        <f t="shared" si="11"/>
        <v>500</v>
      </c>
      <c r="L56" s="185">
        <f t="shared" si="11"/>
        <v>500</v>
      </c>
      <c r="M56" s="185">
        <f t="shared" si="11"/>
        <v>500</v>
      </c>
      <c r="N56" s="185">
        <f t="shared" si="11"/>
        <v>23150</v>
      </c>
    </row>
    <row r="57" spans="1:15" x14ac:dyDescent="0.2">
      <c r="A57" s="188" t="s">
        <v>31</v>
      </c>
      <c r="B57" s="189">
        <f t="shared" ref="B57:N57" si="12">B49+B56+0</f>
        <v>-14607.728381103807</v>
      </c>
      <c r="C57" s="189">
        <f t="shared" si="12"/>
        <v>-15736.305190635583</v>
      </c>
      <c r="D57" s="189">
        <f t="shared" si="12"/>
        <v>-17635.40675016736</v>
      </c>
      <c r="E57" s="189">
        <f t="shared" si="12"/>
        <v>-13423.835309699138</v>
      </c>
      <c r="F57" s="189">
        <f t="shared" si="12"/>
        <v>-13833.414869230917</v>
      </c>
      <c r="G57" s="189">
        <f t="shared" si="12"/>
        <v>-14150.001190635579</v>
      </c>
      <c r="H57" s="189">
        <f t="shared" si="12"/>
        <v>-15212.129869230917</v>
      </c>
      <c r="I57" s="189">
        <f t="shared" si="12"/>
        <v>-12652.072809699137</v>
      </c>
      <c r="J57" s="189">
        <f t="shared" si="12"/>
        <v>-15255.443250167358</v>
      </c>
      <c r="K57" s="189">
        <f t="shared" si="12"/>
        <v>-17470.464869230917</v>
      </c>
      <c r="L57" s="189">
        <f t="shared" si="12"/>
        <v>-10498.96825016736</v>
      </c>
      <c r="M57" s="189">
        <f t="shared" si="12"/>
        <v>-17231.495522449139</v>
      </c>
      <c r="N57" s="189">
        <f t="shared" si="12"/>
        <v>-177707.26626241725</v>
      </c>
    </row>
  </sheetData>
  <mergeCells count="4">
    <mergeCell ref="A1:N1"/>
    <mergeCell ref="A2:N2"/>
    <mergeCell ref="A3:N3"/>
    <mergeCell ref="A4:N4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8ECFC-9CBE-5E47-A518-3BD9186383B3}">
  <sheetPr codeName="Sheet30"/>
  <dimension ref="A1:N55"/>
  <sheetViews>
    <sheetView topLeftCell="A16" zoomScale="114" workbookViewId="0">
      <selection activeCell="B39" sqref="B39:M44"/>
    </sheetView>
  </sheetViews>
  <sheetFormatPr defaultColWidth="7" defaultRowHeight="11.25" x14ac:dyDescent="0.2"/>
  <cols>
    <col min="1" max="1" width="49" style="73" bestFit="1" customWidth="1"/>
    <col min="2" max="13" width="8.125" style="73" bestFit="1" customWidth="1"/>
    <col min="14" max="14" width="8.875" style="73" bestFit="1" customWidth="1"/>
    <col min="15" max="16384" width="7" style="73"/>
  </cols>
  <sheetData>
    <row r="1" spans="1:14" ht="15.75" x14ac:dyDescent="0.25">
      <c r="A1" s="366" t="s">
        <v>182</v>
      </c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</row>
    <row r="2" spans="1:14" ht="18" x14ac:dyDescent="0.25">
      <c r="A2" s="367" t="s">
        <v>183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7" t="s">
        <v>394</v>
      </c>
      <c r="B4" s="367"/>
      <c r="C4" s="367"/>
      <c r="D4" s="367"/>
      <c r="E4" s="367"/>
      <c r="F4" s="367"/>
      <c r="G4" s="367"/>
      <c r="H4" s="367"/>
      <c r="I4" s="367"/>
      <c r="J4" s="367"/>
      <c r="K4" s="367"/>
      <c r="L4" s="367"/>
      <c r="M4" s="367"/>
      <c r="N4" s="367"/>
    </row>
    <row r="5" spans="1:14" ht="18" x14ac:dyDescent="0.25">
      <c r="A5" s="175"/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</row>
    <row r="6" spans="1:14" x14ac:dyDescent="0.2">
      <c r="A6" s="176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216" t="s">
        <v>49</v>
      </c>
    </row>
    <row r="7" spans="1:14" s="208" customFormat="1" x14ac:dyDescent="0.2">
      <c r="A7" s="177" t="s">
        <v>190</v>
      </c>
      <c r="B7" s="178" t="s">
        <v>191</v>
      </c>
      <c r="C7" s="178" t="s">
        <v>191</v>
      </c>
      <c r="D7" s="178" t="s">
        <v>191</v>
      </c>
      <c r="E7" s="178" t="s">
        <v>191</v>
      </c>
      <c r="F7" s="178" t="s">
        <v>191</v>
      </c>
      <c r="G7" s="178" t="s">
        <v>191</v>
      </c>
      <c r="H7" s="178" t="s">
        <v>191</v>
      </c>
      <c r="I7" s="178" t="s">
        <v>191</v>
      </c>
      <c r="J7" s="178" t="s">
        <v>191</v>
      </c>
      <c r="K7" s="178" t="s">
        <v>191</v>
      </c>
      <c r="L7" s="178" t="s">
        <v>191</v>
      </c>
      <c r="M7" s="178" t="s">
        <v>191</v>
      </c>
      <c r="N7" s="178" t="s">
        <v>191</v>
      </c>
    </row>
    <row r="8" spans="1:14" x14ac:dyDescent="0.2">
      <c r="A8" s="179" t="s">
        <v>246</v>
      </c>
      <c r="B8" s="180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</row>
    <row r="9" spans="1:14" x14ac:dyDescent="0.2">
      <c r="A9" s="181" t="s">
        <v>251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</row>
    <row r="10" spans="1:14" x14ac:dyDescent="0.2">
      <c r="A10" s="182" t="s">
        <v>386</v>
      </c>
      <c r="B10" s="155">
        <v>0</v>
      </c>
      <c r="C10" s="155">
        <v>300</v>
      </c>
      <c r="D10" s="155">
        <v>200</v>
      </c>
      <c r="E10" s="155">
        <v>0</v>
      </c>
      <c r="F10" s="155">
        <v>0</v>
      </c>
      <c r="G10" s="155">
        <v>0</v>
      </c>
      <c r="H10" s="155">
        <v>300</v>
      </c>
      <c r="I10" s="155">
        <v>200</v>
      </c>
      <c r="J10" s="155">
        <v>0</v>
      </c>
      <c r="K10" s="155">
        <v>0</v>
      </c>
      <c r="L10" s="155">
        <v>0</v>
      </c>
      <c r="M10" s="155">
        <v>0</v>
      </c>
      <c r="N10" s="183">
        <f>SUM(B10:M10)</f>
        <v>1000</v>
      </c>
    </row>
    <row r="11" spans="1:14" x14ac:dyDescent="0.2">
      <c r="A11" s="182" t="s">
        <v>388</v>
      </c>
      <c r="B11" s="183">
        <v>0</v>
      </c>
      <c r="C11" s="183">
        <v>0</v>
      </c>
      <c r="D11" s="183">
        <v>0</v>
      </c>
      <c r="E11" s="183">
        <v>0</v>
      </c>
      <c r="F11" s="183">
        <v>0</v>
      </c>
      <c r="G11" s="183">
        <v>0</v>
      </c>
      <c r="H11" s="183">
        <v>0</v>
      </c>
      <c r="I11" s="183">
        <v>0</v>
      </c>
      <c r="J11" s="183">
        <v>0</v>
      </c>
      <c r="K11" s="183">
        <v>0</v>
      </c>
      <c r="L11" s="183">
        <v>0</v>
      </c>
      <c r="M11" s="183">
        <v>0</v>
      </c>
      <c r="N11" s="183">
        <f>SUM(B11:M11)</f>
        <v>0</v>
      </c>
    </row>
    <row r="12" spans="1:14" x14ac:dyDescent="0.2">
      <c r="A12" s="184" t="s">
        <v>253</v>
      </c>
      <c r="B12" s="185">
        <f t="shared" ref="B12:N12" si="0">SUM(B10:B11)</f>
        <v>0</v>
      </c>
      <c r="C12" s="185">
        <f t="shared" si="0"/>
        <v>300</v>
      </c>
      <c r="D12" s="185">
        <f t="shared" si="0"/>
        <v>200</v>
      </c>
      <c r="E12" s="185">
        <f t="shared" si="0"/>
        <v>0</v>
      </c>
      <c r="F12" s="185">
        <f t="shared" si="0"/>
        <v>0</v>
      </c>
      <c r="G12" s="185">
        <f t="shared" si="0"/>
        <v>0</v>
      </c>
      <c r="H12" s="185">
        <f t="shared" si="0"/>
        <v>300</v>
      </c>
      <c r="I12" s="185">
        <f t="shared" si="0"/>
        <v>200</v>
      </c>
      <c r="J12" s="185">
        <f t="shared" si="0"/>
        <v>0</v>
      </c>
      <c r="K12" s="185">
        <f t="shared" si="0"/>
        <v>0</v>
      </c>
      <c r="L12" s="185">
        <f t="shared" si="0"/>
        <v>0</v>
      </c>
      <c r="M12" s="185">
        <f t="shared" si="0"/>
        <v>0</v>
      </c>
      <c r="N12" s="185">
        <f t="shared" si="0"/>
        <v>1000</v>
      </c>
    </row>
    <row r="13" spans="1:14" x14ac:dyDescent="0.2">
      <c r="A13" s="186" t="s">
        <v>254</v>
      </c>
      <c r="B13" s="185">
        <f t="shared" ref="B13:N13" si="1">SUM(B12)</f>
        <v>0</v>
      </c>
      <c r="C13" s="185">
        <f t="shared" si="1"/>
        <v>300</v>
      </c>
      <c r="D13" s="185">
        <f t="shared" si="1"/>
        <v>200</v>
      </c>
      <c r="E13" s="185">
        <f t="shared" si="1"/>
        <v>0</v>
      </c>
      <c r="F13" s="185">
        <f t="shared" si="1"/>
        <v>0</v>
      </c>
      <c r="G13" s="185">
        <f t="shared" si="1"/>
        <v>0</v>
      </c>
      <c r="H13" s="185">
        <f t="shared" si="1"/>
        <v>300</v>
      </c>
      <c r="I13" s="185">
        <f t="shared" si="1"/>
        <v>200</v>
      </c>
      <c r="J13" s="185">
        <f t="shared" si="1"/>
        <v>0</v>
      </c>
      <c r="K13" s="185">
        <f t="shared" si="1"/>
        <v>0</v>
      </c>
      <c r="L13" s="185">
        <f t="shared" si="1"/>
        <v>0</v>
      </c>
      <c r="M13" s="185">
        <f t="shared" si="1"/>
        <v>0</v>
      </c>
      <c r="N13" s="185">
        <f t="shared" si="1"/>
        <v>1000</v>
      </c>
    </row>
    <row r="14" spans="1:14" x14ac:dyDescent="0.2">
      <c r="A14" s="179" t="s">
        <v>255</v>
      </c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</row>
    <row r="15" spans="1:14" x14ac:dyDescent="0.2">
      <c r="A15" s="187" t="s">
        <v>256</v>
      </c>
      <c r="B15" s="155">
        <v>0</v>
      </c>
      <c r="C15" s="155">
        <v>500</v>
      </c>
      <c r="D15" s="155">
        <v>500</v>
      </c>
      <c r="E15" s="155">
        <v>0</v>
      </c>
      <c r="F15" s="155">
        <v>0</v>
      </c>
      <c r="G15" s="155">
        <v>0</v>
      </c>
      <c r="H15" s="155">
        <v>500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83">
        <f>SUM(B15:M15)</f>
        <v>1500</v>
      </c>
    </row>
    <row r="16" spans="1:14" x14ac:dyDescent="0.2">
      <c r="A16" s="186" t="s">
        <v>257</v>
      </c>
      <c r="B16" s="185">
        <f t="shared" ref="B16:N16" si="2">SUM(B15)</f>
        <v>0</v>
      </c>
      <c r="C16" s="185">
        <f t="shared" si="2"/>
        <v>500</v>
      </c>
      <c r="D16" s="185">
        <f t="shared" si="2"/>
        <v>500</v>
      </c>
      <c r="E16" s="185">
        <f t="shared" si="2"/>
        <v>0</v>
      </c>
      <c r="F16" s="185">
        <f t="shared" si="2"/>
        <v>0</v>
      </c>
      <c r="G16" s="185">
        <f t="shared" si="2"/>
        <v>0</v>
      </c>
      <c r="H16" s="185">
        <f t="shared" si="2"/>
        <v>500</v>
      </c>
      <c r="I16" s="185">
        <f t="shared" si="2"/>
        <v>0</v>
      </c>
      <c r="J16" s="185">
        <f t="shared" si="2"/>
        <v>0</v>
      </c>
      <c r="K16" s="185">
        <f t="shared" si="2"/>
        <v>0</v>
      </c>
      <c r="L16" s="185">
        <f t="shared" si="2"/>
        <v>0</v>
      </c>
      <c r="M16" s="185">
        <f t="shared" si="2"/>
        <v>0</v>
      </c>
      <c r="N16" s="185">
        <f t="shared" si="2"/>
        <v>1500</v>
      </c>
    </row>
    <row r="17" spans="1:14" x14ac:dyDescent="0.2">
      <c r="A17" s="188" t="s">
        <v>193</v>
      </c>
      <c r="B17" s="189">
        <f t="shared" ref="B17:N17" si="3">B13-B16</f>
        <v>0</v>
      </c>
      <c r="C17" s="189">
        <f t="shared" si="3"/>
        <v>-200</v>
      </c>
      <c r="D17" s="189">
        <f t="shared" si="3"/>
        <v>-300</v>
      </c>
      <c r="E17" s="189">
        <f t="shared" si="3"/>
        <v>0</v>
      </c>
      <c r="F17" s="189">
        <f t="shared" si="3"/>
        <v>0</v>
      </c>
      <c r="G17" s="189">
        <f t="shared" si="3"/>
        <v>0</v>
      </c>
      <c r="H17" s="189">
        <f t="shared" si="3"/>
        <v>-200</v>
      </c>
      <c r="I17" s="189">
        <f t="shared" si="3"/>
        <v>200</v>
      </c>
      <c r="J17" s="189">
        <f t="shared" si="3"/>
        <v>0</v>
      </c>
      <c r="K17" s="189">
        <f t="shared" si="3"/>
        <v>0</v>
      </c>
      <c r="L17" s="189">
        <f t="shared" si="3"/>
        <v>0</v>
      </c>
      <c r="M17" s="189">
        <f t="shared" si="3"/>
        <v>0</v>
      </c>
      <c r="N17" s="189">
        <f t="shared" si="3"/>
        <v>-500</v>
      </c>
    </row>
    <row r="18" spans="1:14" x14ac:dyDescent="0.2">
      <c r="A18" s="179" t="s">
        <v>194</v>
      </c>
      <c r="B18" s="180"/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</row>
    <row r="19" spans="1:14" x14ac:dyDescent="0.2">
      <c r="A19" s="181" t="s">
        <v>195</v>
      </c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</row>
    <row r="20" spans="1:14" x14ac:dyDescent="0.2">
      <c r="A20" s="182" t="s">
        <v>395</v>
      </c>
      <c r="B20" s="183">
        <v>20000</v>
      </c>
      <c r="C20" s="183">
        <v>0</v>
      </c>
      <c r="D20" s="183">
        <v>0</v>
      </c>
      <c r="E20" s="183">
        <v>0</v>
      </c>
      <c r="F20" s="183">
        <v>0</v>
      </c>
      <c r="G20" s="183">
        <v>0</v>
      </c>
      <c r="H20" s="183">
        <v>0</v>
      </c>
      <c r="I20" s="183">
        <v>0</v>
      </c>
      <c r="J20" s="183">
        <v>0</v>
      </c>
      <c r="K20" s="183">
        <v>0</v>
      </c>
      <c r="L20" s="183">
        <v>0</v>
      </c>
      <c r="M20" s="183">
        <v>0</v>
      </c>
      <c r="N20" s="183">
        <f t="shared" ref="N20:N36" si="4">SUM(B20:M20)</f>
        <v>20000</v>
      </c>
    </row>
    <row r="21" spans="1:14" x14ac:dyDescent="0.2">
      <c r="A21" s="182" t="s">
        <v>365</v>
      </c>
      <c r="B21" s="155">
        <v>2000</v>
      </c>
      <c r="C21" s="155">
        <v>500</v>
      </c>
      <c r="D21" s="155">
        <v>0</v>
      </c>
      <c r="E21" s="155">
        <v>0</v>
      </c>
      <c r="F21" s="155">
        <v>0</v>
      </c>
      <c r="G21" s="155">
        <v>0</v>
      </c>
      <c r="H21" s="155">
        <v>500</v>
      </c>
      <c r="I21" s="155">
        <v>0</v>
      </c>
      <c r="J21" s="155">
        <v>0</v>
      </c>
      <c r="K21" s="155">
        <v>0</v>
      </c>
      <c r="L21" s="155">
        <v>0</v>
      </c>
      <c r="M21" s="155">
        <v>0</v>
      </c>
      <c r="N21" s="183">
        <f t="shared" si="4"/>
        <v>3000</v>
      </c>
    </row>
    <row r="22" spans="1:14" x14ac:dyDescent="0.2">
      <c r="A22" s="182" t="s">
        <v>389</v>
      </c>
      <c r="B22" s="155">
        <v>1100</v>
      </c>
      <c r="C22" s="155">
        <v>0</v>
      </c>
      <c r="D22" s="155">
        <v>0</v>
      </c>
      <c r="E22" s="155">
        <v>0</v>
      </c>
      <c r="F22" s="155">
        <v>0</v>
      </c>
      <c r="G22" s="155">
        <v>0</v>
      </c>
      <c r="H22" s="155">
        <v>500</v>
      </c>
      <c r="I22" s="155">
        <v>0</v>
      </c>
      <c r="J22" s="155">
        <v>0</v>
      </c>
      <c r="K22" s="155">
        <v>0</v>
      </c>
      <c r="L22" s="155">
        <v>2200</v>
      </c>
      <c r="M22" s="155">
        <v>0</v>
      </c>
      <c r="N22" s="183">
        <f t="shared" si="4"/>
        <v>3800</v>
      </c>
    </row>
    <row r="23" spans="1:14" x14ac:dyDescent="0.2">
      <c r="A23" s="182" t="s">
        <v>344</v>
      </c>
      <c r="B23" s="155">
        <v>0</v>
      </c>
      <c r="C23" s="155">
        <v>1000</v>
      </c>
      <c r="D23" s="155">
        <v>1000</v>
      </c>
      <c r="E23" s="155">
        <v>0</v>
      </c>
      <c r="F23" s="155">
        <v>0</v>
      </c>
      <c r="G23" s="155">
        <v>0</v>
      </c>
      <c r="H23" s="155">
        <v>1000</v>
      </c>
      <c r="I23" s="155">
        <v>500</v>
      </c>
      <c r="J23" s="155">
        <v>0</v>
      </c>
      <c r="K23" s="155">
        <v>0</v>
      </c>
      <c r="L23" s="155">
        <v>0</v>
      </c>
      <c r="M23" s="155">
        <v>0</v>
      </c>
      <c r="N23" s="183">
        <f t="shared" si="4"/>
        <v>3500</v>
      </c>
    </row>
    <row r="24" spans="1:14" x14ac:dyDescent="0.2">
      <c r="A24" s="182" t="s">
        <v>353</v>
      </c>
      <c r="B24" s="183">
        <v>0</v>
      </c>
      <c r="C24" s="183">
        <v>500</v>
      </c>
      <c r="D24" s="183">
        <v>0</v>
      </c>
      <c r="E24" s="183">
        <v>0</v>
      </c>
      <c r="F24" s="183">
        <v>0</v>
      </c>
      <c r="G24" s="183">
        <v>0</v>
      </c>
      <c r="H24" s="183">
        <v>0</v>
      </c>
      <c r="I24" s="183">
        <v>0</v>
      </c>
      <c r="J24" s="183">
        <v>500</v>
      </c>
      <c r="K24" s="183">
        <v>0</v>
      </c>
      <c r="L24" s="183">
        <v>0</v>
      </c>
      <c r="M24" s="183">
        <v>0</v>
      </c>
      <c r="N24" s="183">
        <f t="shared" si="4"/>
        <v>1000</v>
      </c>
    </row>
    <row r="25" spans="1:14" x14ac:dyDescent="0.2">
      <c r="A25" s="182" t="s">
        <v>27</v>
      </c>
      <c r="B25" s="155">
        <v>500</v>
      </c>
      <c r="C25" s="155">
        <v>1000</v>
      </c>
      <c r="D25" s="155">
        <v>500</v>
      </c>
      <c r="E25" s="155">
        <v>500</v>
      </c>
      <c r="F25" s="155">
        <v>500</v>
      </c>
      <c r="G25" s="155">
        <v>500</v>
      </c>
      <c r="H25" s="155">
        <v>1000</v>
      </c>
      <c r="I25" s="155">
        <v>500</v>
      </c>
      <c r="J25" s="155">
        <v>500</v>
      </c>
      <c r="K25" s="155">
        <v>500</v>
      </c>
      <c r="L25" s="155">
        <v>500</v>
      </c>
      <c r="M25" s="155">
        <v>500</v>
      </c>
      <c r="N25" s="183">
        <f t="shared" si="4"/>
        <v>7000</v>
      </c>
    </row>
    <row r="26" spans="1:14" x14ac:dyDescent="0.2">
      <c r="A26" s="182" t="s">
        <v>212</v>
      </c>
      <c r="B26" s="183">
        <v>131</v>
      </c>
      <c r="C26" s="183">
        <v>131</v>
      </c>
      <c r="D26" s="183">
        <v>131</v>
      </c>
      <c r="E26" s="183">
        <v>131</v>
      </c>
      <c r="F26" s="183">
        <v>131</v>
      </c>
      <c r="G26" s="183">
        <v>131</v>
      </c>
      <c r="H26" s="183">
        <v>131</v>
      </c>
      <c r="I26" s="183">
        <v>131</v>
      </c>
      <c r="J26" s="183">
        <v>131</v>
      </c>
      <c r="K26" s="183">
        <v>131</v>
      </c>
      <c r="L26" s="183">
        <v>131</v>
      </c>
      <c r="M26" s="183">
        <v>131</v>
      </c>
      <c r="N26" s="183">
        <f t="shared" si="4"/>
        <v>1572</v>
      </c>
    </row>
    <row r="27" spans="1:14" x14ac:dyDescent="0.2">
      <c r="A27" s="182" t="s">
        <v>213</v>
      </c>
      <c r="B27" s="183">
        <v>20</v>
      </c>
      <c r="C27" s="183">
        <v>20</v>
      </c>
      <c r="D27" s="183">
        <v>20</v>
      </c>
      <c r="E27" s="183">
        <v>20</v>
      </c>
      <c r="F27" s="183">
        <v>20</v>
      </c>
      <c r="G27" s="183">
        <v>20</v>
      </c>
      <c r="H27" s="183">
        <v>20</v>
      </c>
      <c r="I27" s="183">
        <v>20</v>
      </c>
      <c r="J27" s="183">
        <v>20</v>
      </c>
      <c r="K27" s="183">
        <v>20</v>
      </c>
      <c r="L27" s="183">
        <v>20</v>
      </c>
      <c r="M27" s="183">
        <v>20</v>
      </c>
      <c r="N27" s="183">
        <f t="shared" si="4"/>
        <v>240</v>
      </c>
    </row>
    <row r="28" spans="1:14" x14ac:dyDescent="0.2">
      <c r="A28" s="182" t="s">
        <v>214</v>
      </c>
      <c r="B28" s="183">
        <v>0</v>
      </c>
      <c r="C28" s="183">
        <v>0</v>
      </c>
      <c r="D28" s="183">
        <v>0</v>
      </c>
      <c r="E28" s="183">
        <v>0</v>
      </c>
      <c r="F28" s="183">
        <v>0</v>
      </c>
      <c r="G28" s="183">
        <v>0</v>
      </c>
      <c r="H28" s="183">
        <v>0</v>
      </c>
      <c r="I28" s="183">
        <v>0</v>
      </c>
      <c r="J28" s="183">
        <v>0</v>
      </c>
      <c r="K28" s="183">
        <v>0</v>
      </c>
      <c r="L28" s="183">
        <v>0</v>
      </c>
      <c r="M28" s="183">
        <v>0</v>
      </c>
      <c r="N28" s="183">
        <f t="shared" si="4"/>
        <v>0</v>
      </c>
    </row>
    <row r="29" spans="1:14" x14ac:dyDescent="0.2">
      <c r="A29" s="182" t="s">
        <v>264</v>
      </c>
      <c r="B29" s="183">
        <v>20</v>
      </c>
      <c r="C29" s="183">
        <v>20</v>
      </c>
      <c r="D29" s="183">
        <v>20</v>
      </c>
      <c r="E29" s="183">
        <v>20</v>
      </c>
      <c r="F29" s="183">
        <v>20</v>
      </c>
      <c r="G29" s="183">
        <v>20</v>
      </c>
      <c r="H29" s="183">
        <v>20</v>
      </c>
      <c r="I29" s="183">
        <v>20</v>
      </c>
      <c r="J29" s="183">
        <v>20</v>
      </c>
      <c r="K29" s="183">
        <v>20</v>
      </c>
      <c r="L29" s="183">
        <v>20</v>
      </c>
      <c r="M29" s="183">
        <v>20</v>
      </c>
      <c r="N29" s="183">
        <f t="shared" si="4"/>
        <v>240</v>
      </c>
    </row>
    <row r="30" spans="1:14" x14ac:dyDescent="0.2">
      <c r="A30" s="182" t="s">
        <v>267</v>
      </c>
      <c r="B30" s="183">
        <v>50</v>
      </c>
      <c r="C30" s="183">
        <v>50</v>
      </c>
      <c r="D30" s="183">
        <v>50</v>
      </c>
      <c r="E30" s="183">
        <v>50</v>
      </c>
      <c r="F30" s="183">
        <v>50</v>
      </c>
      <c r="G30" s="183">
        <v>50</v>
      </c>
      <c r="H30" s="183">
        <v>50</v>
      </c>
      <c r="I30" s="183">
        <v>50</v>
      </c>
      <c r="J30" s="183">
        <v>50</v>
      </c>
      <c r="K30" s="183">
        <v>50</v>
      </c>
      <c r="L30" s="183">
        <v>50</v>
      </c>
      <c r="M30" s="183">
        <v>50</v>
      </c>
      <c r="N30" s="183">
        <f t="shared" si="4"/>
        <v>600</v>
      </c>
    </row>
    <row r="31" spans="1:14" x14ac:dyDescent="0.2">
      <c r="A31" s="217" t="s">
        <v>270</v>
      </c>
      <c r="B31" s="183">
        <v>15</v>
      </c>
      <c r="C31" s="183">
        <v>15</v>
      </c>
      <c r="D31" s="183">
        <v>15</v>
      </c>
      <c r="E31" s="183">
        <v>15</v>
      </c>
      <c r="F31" s="183">
        <v>15</v>
      </c>
      <c r="G31" s="183">
        <v>15</v>
      </c>
      <c r="H31" s="183">
        <v>15</v>
      </c>
      <c r="I31" s="183">
        <v>15</v>
      </c>
      <c r="J31" s="183">
        <v>15</v>
      </c>
      <c r="K31" s="183">
        <v>15</v>
      </c>
      <c r="L31" s="183">
        <v>15</v>
      </c>
      <c r="M31" s="183">
        <v>15</v>
      </c>
      <c r="N31" s="183">
        <f t="shared" si="4"/>
        <v>180</v>
      </c>
    </row>
    <row r="32" spans="1:14" x14ac:dyDescent="0.2">
      <c r="A32" s="182" t="s">
        <v>274</v>
      </c>
      <c r="B32" s="183">
        <v>900</v>
      </c>
      <c r="C32" s="183">
        <v>500</v>
      </c>
      <c r="D32" s="183">
        <v>500</v>
      </c>
      <c r="E32" s="183">
        <v>500</v>
      </c>
      <c r="F32" s="183">
        <v>900</v>
      </c>
      <c r="G32" s="183">
        <v>500</v>
      </c>
      <c r="H32" s="183">
        <v>500</v>
      </c>
      <c r="I32" s="183">
        <v>500</v>
      </c>
      <c r="J32" s="183">
        <v>900</v>
      </c>
      <c r="K32" s="183">
        <v>500</v>
      </c>
      <c r="L32" s="183">
        <v>500</v>
      </c>
      <c r="M32" s="183">
        <v>900</v>
      </c>
      <c r="N32" s="183">
        <f t="shared" si="4"/>
        <v>7600</v>
      </c>
    </row>
    <row r="33" spans="1:14" x14ac:dyDescent="0.2">
      <c r="A33" s="217" t="s">
        <v>219</v>
      </c>
      <c r="B33" s="183">
        <v>719.33</v>
      </c>
      <c r="C33" s="183">
        <v>719.33</v>
      </c>
      <c r="D33" s="183">
        <v>719.33</v>
      </c>
      <c r="E33" s="183">
        <v>719.33</v>
      </c>
      <c r="F33" s="183">
        <v>719.33</v>
      </c>
      <c r="G33" s="183">
        <v>719.33</v>
      </c>
      <c r="H33" s="183">
        <v>719.33</v>
      </c>
      <c r="I33" s="183">
        <v>719.33</v>
      </c>
      <c r="J33" s="183">
        <v>719.33</v>
      </c>
      <c r="K33" s="183">
        <v>719.33</v>
      </c>
      <c r="L33" s="183">
        <v>719.33</v>
      </c>
      <c r="M33" s="183">
        <v>719.33</v>
      </c>
      <c r="N33" s="183">
        <f t="shared" si="4"/>
        <v>8631.9600000000009</v>
      </c>
    </row>
    <row r="34" spans="1:14" x14ac:dyDescent="0.2">
      <c r="A34" s="217" t="s">
        <v>275</v>
      </c>
      <c r="B34" s="218">
        <v>182.02</v>
      </c>
      <c r="C34" s="218">
        <v>182.02</v>
      </c>
      <c r="D34" s="218">
        <v>182.02</v>
      </c>
      <c r="E34" s="218">
        <v>182.02</v>
      </c>
      <c r="F34" s="218">
        <v>182.02</v>
      </c>
      <c r="G34" s="218">
        <v>182.02</v>
      </c>
      <c r="H34" s="218">
        <v>182.02</v>
      </c>
      <c r="I34" s="218">
        <v>182.02</v>
      </c>
      <c r="J34" s="218">
        <v>182.02</v>
      </c>
      <c r="K34" s="218">
        <v>182.02</v>
      </c>
      <c r="L34" s="218">
        <v>182.02</v>
      </c>
      <c r="M34" s="218">
        <v>182.02</v>
      </c>
      <c r="N34" s="183">
        <f t="shared" si="4"/>
        <v>2184.2400000000002</v>
      </c>
    </row>
    <row r="35" spans="1:14" x14ac:dyDescent="0.2">
      <c r="A35" s="217" t="s">
        <v>221</v>
      </c>
      <c r="B35" s="218">
        <v>5.44</v>
      </c>
      <c r="C35" s="218">
        <v>5.44</v>
      </c>
      <c r="D35" s="218">
        <v>5.44</v>
      </c>
      <c r="E35" s="218">
        <v>5.44</v>
      </c>
      <c r="F35" s="218">
        <v>5.44</v>
      </c>
      <c r="G35" s="218">
        <v>5.44</v>
      </c>
      <c r="H35" s="218">
        <v>5.44</v>
      </c>
      <c r="I35" s="218">
        <v>5.44</v>
      </c>
      <c r="J35" s="218">
        <v>5.44</v>
      </c>
      <c r="K35" s="218">
        <v>5.44</v>
      </c>
      <c r="L35" s="218">
        <v>5.44</v>
      </c>
      <c r="M35" s="218">
        <v>5.44</v>
      </c>
      <c r="N35" s="183">
        <f t="shared" si="4"/>
        <v>65.279999999999987</v>
      </c>
    </row>
    <row r="36" spans="1:14" x14ac:dyDescent="0.2">
      <c r="A36" s="217" t="s">
        <v>375</v>
      </c>
      <c r="B36" s="218">
        <v>225.36</v>
      </c>
      <c r="C36" s="218">
        <v>225.36</v>
      </c>
      <c r="D36" s="218">
        <v>225.36</v>
      </c>
      <c r="E36" s="218">
        <v>225.36</v>
      </c>
      <c r="F36" s="218">
        <v>225.36</v>
      </c>
      <c r="G36" s="218">
        <v>225.36</v>
      </c>
      <c r="H36" s="218">
        <v>225.36</v>
      </c>
      <c r="I36" s="218">
        <v>225.36</v>
      </c>
      <c r="J36" s="218">
        <v>225.36</v>
      </c>
      <c r="K36" s="218">
        <v>225.36</v>
      </c>
      <c r="L36" s="218">
        <v>225.36</v>
      </c>
      <c r="M36" s="218">
        <v>225.36</v>
      </c>
      <c r="N36" s="183">
        <f t="shared" si="4"/>
        <v>2704.3200000000011</v>
      </c>
    </row>
    <row r="37" spans="1:14" x14ac:dyDescent="0.2">
      <c r="A37" s="184" t="s">
        <v>196</v>
      </c>
      <c r="B37" s="185">
        <f t="shared" ref="B37:N37" si="5">SUM(B20:B36)</f>
        <v>25868.15</v>
      </c>
      <c r="C37" s="185">
        <f t="shared" si="5"/>
        <v>4868.1499999999996</v>
      </c>
      <c r="D37" s="185">
        <f t="shared" si="5"/>
        <v>3368.15</v>
      </c>
      <c r="E37" s="185">
        <f t="shared" si="5"/>
        <v>2368.15</v>
      </c>
      <c r="F37" s="185">
        <f t="shared" si="5"/>
        <v>2768.15</v>
      </c>
      <c r="G37" s="185">
        <f t="shared" si="5"/>
        <v>2368.15</v>
      </c>
      <c r="H37" s="185">
        <f t="shared" si="5"/>
        <v>4868.1499999999996</v>
      </c>
      <c r="I37" s="185">
        <f t="shared" si="5"/>
        <v>2868.15</v>
      </c>
      <c r="J37" s="185">
        <f t="shared" si="5"/>
        <v>3268.15</v>
      </c>
      <c r="K37" s="185">
        <f t="shared" si="5"/>
        <v>2368.15</v>
      </c>
      <c r="L37" s="185">
        <f t="shared" si="5"/>
        <v>4568.1499999999996</v>
      </c>
      <c r="M37" s="185">
        <f t="shared" si="5"/>
        <v>2768.15</v>
      </c>
      <c r="N37" s="185">
        <f t="shared" si="5"/>
        <v>62317.799999999996</v>
      </c>
    </row>
    <row r="38" spans="1:14" x14ac:dyDescent="0.2">
      <c r="A38" s="181" t="s">
        <v>222</v>
      </c>
      <c r="B38" s="180"/>
      <c r="C38" s="180"/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</row>
    <row r="39" spans="1:14" x14ac:dyDescent="0.2">
      <c r="A39" s="182" t="s">
        <v>223</v>
      </c>
      <c r="B39" s="183">
        <v>14264.64</v>
      </c>
      <c r="C39" s="183">
        <v>15015.41</v>
      </c>
      <c r="D39" s="183">
        <v>15766.18</v>
      </c>
      <c r="E39" s="183">
        <v>16516.95</v>
      </c>
      <c r="F39" s="183">
        <v>17267.73</v>
      </c>
      <c r="G39" s="183">
        <v>15015.41</v>
      </c>
      <c r="H39" s="183">
        <v>17267.73</v>
      </c>
      <c r="I39" s="183">
        <v>16516.95</v>
      </c>
      <c r="J39" s="183">
        <v>15766.18</v>
      </c>
      <c r="K39" s="183">
        <v>17267.73</v>
      </c>
      <c r="L39" s="183">
        <v>15766.18</v>
      </c>
      <c r="M39" s="183">
        <v>20688.560000000001</v>
      </c>
      <c r="N39" s="183">
        <f t="shared" ref="N39:N44" si="6">SUM(B39:M39)</f>
        <v>197119.65</v>
      </c>
    </row>
    <row r="40" spans="1:14" x14ac:dyDescent="0.2">
      <c r="A40" s="182" t="s">
        <v>224</v>
      </c>
      <c r="B40" s="183">
        <v>2481.4</v>
      </c>
      <c r="C40" s="183">
        <v>2612</v>
      </c>
      <c r="D40" s="183">
        <v>2742.6</v>
      </c>
      <c r="E40" s="183">
        <v>2873.2</v>
      </c>
      <c r="F40" s="183">
        <v>3003.8</v>
      </c>
      <c r="G40" s="183">
        <v>2612</v>
      </c>
      <c r="H40" s="183">
        <v>3003.8</v>
      </c>
      <c r="I40" s="183">
        <v>2873.2</v>
      </c>
      <c r="J40" s="183">
        <v>2742.6</v>
      </c>
      <c r="K40" s="183">
        <v>3003.8</v>
      </c>
      <c r="L40" s="183">
        <v>2742.6</v>
      </c>
      <c r="M40" s="183">
        <v>2873.2</v>
      </c>
      <c r="N40" s="183">
        <f t="shared" si="6"/>
        <v>33564.199999999997</v>
      </c>
    </row>
    <row r="41" spans="1:14" x14ac:dyDescent="0.2">
      <c r="A41" s="182" t="s">
        <v>225</v>
      </c>
      <c r="B41" s="183">
        <v>150.75</v>
      </c>
      <c r="C41" s="183">
        <v>158.68</v>
      </c>
      <c r="D41" s="183">
        <v>166.61</v>
      </c>
      <c r="E41" s="183">
        <v>174.55</v>
      </c>
      <c r="F41" s="183">
        <v>182.48</v>
      </c>
      <c r="G41" s="183">
        <v>158.68</v>
      </c>
      <c r="H41" s="183">
        <v>182.48</v>
      </c>
      <c r="I41" s="183">
        <v>174.55</v>
      </c>
      <c r="J41" s="183">
        <v>166.61</v>
      </c>
      <c r="K41" s="183">
        <v>182.48</v>
      </c>
      <c r="L41" s="183">
        <v>166.61</v>
      </c>
      <c r="M41" s="183">
        <v>174.55</v>
      </c>
      <c r="N41" s="183">
        <f t="shared" si="6"/>
        <v>2039.03</v>
      </c>
    </row>
    <row r="42" spans="1:14" x14ac:dyDescent="0.2">
      <c r="A42" s="182" t="s">
        <v>226</v>
      </c>
      <c r="B42" s="183">
        <v>1398.3</v>
      </c>
      <c r="C42" s="183">
        <v>1357.13</v>
      </c>
      <c r="D42" s="183">
        <v>1424.98</v>
      </c>
      <c r="E42" s="183">
        <v>1492.84</v>
      </c>
      <c r="F42" s="183">
        <v>1560.69</v>
      </c>
      <c r="G42" s="183">
        <v>1357.13</v>
      </c>
      <c r="H42" s="183">
        <v>1560.69</v>
      </c>
      <c r="I42" s="183">
        <v>1492.84</v>
      </c>
      <c r="J42" s="183">
        <v>1424.98</v>
      </c>
      <c r="K42" s="183">
        <v>1560.69</v>
      </c>
      <c r="L42" s="183">
        <v>1424.98</v>
      </c>
      <c r="M42" s="183">
        <v>1492.84</v>
      </c>
      <c r="N42" s="183">
        <f t="shared" si="6"/>
        <v>17548.09</v>
      </c>
    </row>
    <row r="43" spans="1:14" x14ac:dyDescent="0.2">
      <c r="A43" s="182" t="s">
        <v>227</v>
      </c>
      <c r="B43" s="183">
        <v>493.45</v>
      </c>
      <c r="C43" s="183">
        <v>330.71</v>
      </c>
      <c r="D43" s="183">
        <v>347.24</v>
      </c>
      <c r="E43" s="183">
        <v>363.78</v>
      </c>
      <c r="F43" s="183">
        <v>380.31</v>
      </c>
      <c r="G43" s="183">
        <v>330.71</v>
      </c>
      <c r="H43" s="183">
        <v>380.31</v>
      </c>
      <c r="I43" s="183">
        <v>363.78</v>
      </c>
      <c r="J43" s="183">
        <v>347.24</v>
      </c>
      <c r="K43" s="183">
        <v>380.31</v>
      </c>
      <c r="L43" s="183">
        <v>347.24</v>
      </c>
      <c r="M43" s="183">
        <v>363.78</v>
      </c>
      <c r="N43" s="183">
        <f t="shared" si="6"/>
        <v>4428.8599999999997</v>
      </c>
    </row>
    <row r="44" spans="1:14" x14ac:dyDescent="0.2">
      <c r="A44" s="182" t="s">
        <v>239</v>
      </c>
      <c r="B44" s="183" t="s">
        <v>382</v>
      </c>
      <c r="C44" s="183" t="s">
        <v>382</v>
      </c>
      <c r="D44" s="183" t="s">
        <v>382</v>
      </c>
      <c r="E44" s="183" t="s">
        <v>382</v>
      </c>
      <c r="F44" s="183" t="s">
        <v>382</v>
      </c>
      <c r="G44" s="183" t="s">
        <v>382</v>
      </c>
      <c r="H44" s="183" t="s">
        <v>382</v>
      </c>
      <c r="I44" s="183" t="s">
        <v>382</v>
      </c>
      <c r="J44" s="183" t="s">
        <v>382</v>
      </c>
      <c r="K44" s="183" t="s">
        <v>382</v>
      </c>
      <c r="L44" s="183" t="s">
        <v>382</v>
      </c>
      <c r="M44" s="183" t="s">
        <v>382</v>
      </c>
      <c r="N44" s="183">
        <f t="shared" si="6"/>
        <v>0</v>
      </c>
    </row>
    <row r="45" spans="1:14" x14ac:dyDescent="0.2">
      <c r="A45" s="184" t="s">
        <v>228</v>
      </c>
      <c r="B45" s="185">
        <f t="shared" ref="B45:N45" si="7">SUM(B39:B44)</f>
        <v>18788.54</v>
      </c>
      <c r="C45" s="185">
        <f t="shared" si="7"/>
        <v>19473.93</v>
      </c>
      <c r="D45" s="185">
        <f t="shared" si="7"/>
        <v>20447.61</v>
      </c>
      <c r="E45" s="185">
        <f t="shared" si="7"/>
        <v>21421.32</v>
      </c>
      <c r="F45" s="185">
        <f t="shared" si="7"/>
        <v>22395.01</v>
      </c>
      <c r="G45" s="185">
        <f t="shared" si="7"/>
        <v>19473.93</v>
      </c>
      <c r="H45" s="185">
        <f t="shared" si="7"/>
        <v>22395.01</v>
      </c>
      <c r="I45" s="185">
        <f t="shared" si="7"/>
        <v>21421.32</v>
      </c>
      <c r="J45" s="185">
        <f t="shared" si="7"/>
        <v>20447.61</v>
      </c>
      <c r="K45" s="185">
        <f t="shared" si="7"/>
        <v>22395.01</v>
      </c>
      <c r="L45" s="185">
        <f t="shared" si="7"/>
        <v>20447.61</v>
      </c>
      <c r="M45" s="185">
        <f t="shared" si="7"/>
        <v>25592.93</v>
      </c>
      <c r="N45" s="185">
        <f t="shared" si="7"/>
        <v>254699.82999999996</v>
      </c>
    </row>
    <row r="46" spans="1:14" x14ac:dyDescent="0.2">
      <c r="A46" s="186" t="s">
        <v>197</v>
      </c>
      <c r="B46" s="185">
        <f t="shared" ref="B46:N46" si="8">SUM(B37,B45)</f>
        <v>44656.69</v>
      </c>
      <c r="C46" s="185">
        <f t="shared" si="8"/>
        <v>24342.080000000002</v>
      </c>
      <c r="D46" s="185">
        <f t="shared" si="8"/>
        <v>23815.760000000002</v>
      </c>
      <c r="E46" s="185">
        <f t="shared" si="8"/>
        <v>23789.47</v>
      </c>
      <c r="F46" s="185">
        <f t="shared" si="8"/>
        <v>25163.16</v>
      </c>
      <c r="G46" s="185">
        <f t="shared" si="8"/>
        <v>21842.080000000002</v>
      </c>
      <c r="H46" s="185">
        <f t="shared" si="8"/>
        <v>27263.159999999996</v>
      </c>
      <c r="I46" s="185">
        <f t="shared" si="8"/>
        <v>24289.47</v>
      </c>
      <c r="J46" s="185">
        <f t="shared" si="8"/>
        <v>23715.760000000002</v>
      </c>
      <c r="K46" s="185">
        <f t="shared" si="8"/>
        <v>24763.16</v>
      </c>
      <c r="L46" s="185">
        <f t="shared" si="8"/>
        <v>25015.760000000002</v>
      </c>
      <c r="M46" s="185">
        <f t="shared" si="8"/>
        <v>28361.08</v>
      </c>
      <c r="N46" s="185">
        <f t="shared" si="8"/>
        <v>317017.62999999995</v>
      </c>
    </row>
    <row r="47" spans="1:14" x14ac:dyDescent="0.2">
      <c r="A47" s="188" t="s">
        <v>198</v>
      </c>
      <c r="B47" s="189">
        <f t="shared" ref="B47:N47" si="9">B17-B46</f>
        <v>-44656.69</v>
      </c>
      <c r="C47" s="189">
        <f t="shared" si="9"/>
        <v>-24542.080000000002</v>
      </c>
      <c r="D47" s="189">
        <f t="shared" si="9"/>
        <v>-24115.760000000002</v>
      </c>
      <c r="E47" s="189">
        <f t="shared" si="9"/>
        <v>-23789.47</v>
      </c>
      <c r="F47" s="189">
        <f t="shared" si="9"/>
        <v>-25163.16</v>
      </c>
      <c r="G47" s="189">
        <f t="shared" si="9"/>
        <v>-21842.080000000002</v>
      </c>
      <c r="H47" s="189">
        <f t="shared" si="9"/>
        <v>-27463.159999999996</v>
      </c>
      <c r="I47" s="189">
        <f t="shared" si="9"/>
        <v>-24089.47</v>
      </c>
      <c r="J47" s="189">
        <f t="shared" si="9"/>
        <v>-23715.760000000002</v>
      </c>
      <c r="K47" s="189">
        <f t="shared" si="9"/>
        <v>-24763.16</v>
      </c>
      <c r="L47" s="189">
        <f t="shared" si="9"/>
        <v>-25015.760000000002</v>
      </c>
      <c r="M47" s="189">
        <f t="shared" si="9"/>
        <v>-28361.08</v>
      </c>
      <c r="N47" s="189">
        <f t="shared" si="9"/>
        <v>-317517.62999999995</v>
      </c>
    </row>
    <row r="48" spans="1:14" x14ac:dyDescent="0.2">
      <c r="A48" s="179" t="s">
        <v>199</v>
      </c>
      <c r="B48" s="180"/>
      <c r="C48" s="180"/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</row>
    <row r="49" spans="1:14" x14ac:dyDescent="0.2">
      <c r="A49" s="181" t="s">
        <v>202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</row>
    <row r="50" spans="1:14" x14ac:dyDescent="0.2">
      <c r="A50" s="182" t="s">
        <v>277</v>
      </c>
      <c r="B50" s="155">
        <v>1050</v>
      </c>
      <c r="C50" s="155">
        <v>3500</v>
      </c>
      <c r="D50" s="155">
        <v>5000</v>
      </c>
      <c r="E50" s="155">
        <v>3000</v>
      </c>
      <c r="F50" s="155">
        <v>2800</v>
      </c>
      <c r="G50" s="155">
        <v>3000</v>
      </c>
      <c r="H50" s="155">
        <v>3600</v>
      </c>
      <c r="I50" s="155">
        <v>0</v>
      </c>
      <c r="J50" s="155">
        <v>900</v>
      </c>
      <c r="K50" s="183">
        <v>170</v>
      </c>
      <c r="L50" s="183">
        <v>100</v>
      </c>
      <c r="M50" s="183">
        <v>30</v>
      </c>
      <c r="N50" s="183">
        <f>SUM(B50:M50)</f>
        <v>23150</v>
      </c>
    </row>
    <row r="51" spans="1:14" x14ac:dyDescent="0.2">
      <c r="A51" s="182" t="s">
        <v>393</v>
      </c>
      <c r="B51" s="155">
        <v>5000</v>
      </c>
      <c r="C51" s="155">
        <v>0</v>
      </c>
      <c r="D51" s="155">
        <v>0</v>
      </c>
      <c r="E51" s="155">
        <v>0</v>
      </c>
      <c r="F51" s="155">
        <v>0</v>
      </c>
      <c r="G51" s="155">
        <v>0</v>
      </c>
      <c r="H51" s="155">
        <v>0</v>
      </c>
      <c r="I51" s="155">
        <v>0</v>
      </c>
      <c r="J51" s="155">
        <v>0</v>
      </c>
      <c r="K51" s="183">
        <v>0</v>
      </c>
      <c r="L51" s="183">
        <v>0</v>
      </c>
      <c r="M51" s="183">
        <v>0</v>
      </c>
      <c r="N51" s="183">
        <f>SUM(B51:M51)</f>
        <v>5000</v>
      </c>
    </row>
    <row r="52" spans="1:14" x14ac:dyDescent="0.2">
      <c r="A52" s="182" t="s">
        <v>230</v>
      </c>
      <c r="B52" s="155">
        <v>0</v>
      </c>
      <c r="C52" s="155">
        <v>3451.62</v>
      </c>
      <c r="D52" s="155">
        <v>1723.65</v>
      </c>
      <c r="E52" s="155">
        <v>1366.82</v>
      </c>
      <c r="F52" s="155">
        <v>1085.95</v>
      </c>
      <c r="G52" s="155">
        <v>-560</v>
      </c>
      <c r="H52" s="155">
        <v>136.37</v>
      </c>
      <c r="I52" s="155">
        <v>1343.65</v>
      </c>
      <c r="J52" s="155">
        <v>2086.36</v>
      </c>
      <c r="K52" s="183">
        <v>0</v>
      </c>
      <c r="L52" s="183">
        <v>0</v>
      </c>
      <c r="M52" s="183">
        <v>0</v>
      </c>
      <c r="N52" s="183">
        <f>SUM(B52:M52)</f>
        <v>10634.42</v>
      </c>
    </row>
    <row r="53" spans="1:14" x14ac:dyDescent="0.2">
      <c r="A53" s="184" t="s">
        <v>203</v>
      </c>
      <c r="B53" s="185">
        <f t="shared" ref="B53:N53" si="10">SUM(B50:B52)</f>
        <v>6050</v>
      </c>
      <c r="C53" s="185">
        <f t="shared" si="10"/>
        <v>6951.62</v>
      </c>
      <c r="D53" s="185">
        <f t="shared" si="10"/>
        <v>6723.65</v>
      </c>
      <c r="E53" s="185">
        <f t="shared" si="10"/>
        <v>4366.82</v>
      </c>
      <c r="F53" s="185">
        <f t="shared" si="10"/>
        <v>3885.95</v>
      </c>
      <c r="G53" s="185">
        <f t="shared" si="10"/>
        <v>2440</v>
      </c>
      <c r="H53" s="185">
        <f t="shared" si="10"/>
        <v>3736.37</v>
      </c>
      <c r="I53" s="185">
        <f t="shared" si="10"/>
        <v>1343.65</v>
      </c>
      <c r="J53" s="185">
        <f t="shared" si="10"/>
        <v>2986.36</v>
      </c>
      <c r="K53" s="185">
        <f t="shared" si="10"/>
        <v>170</v>
      </c>
      <c r="L53" s="185">
        <f t="shared" si="10"/>
        <v>100</v>
      </c>
      <c r="M53" s="185">
        <f t="shared" si="10"/>
        <v>30</v>
      </c>
      <c r="N53" s="185">
        <f t="shared" si="10"/>
        <v>38784.42</v>
      </c>
    </row>
    <row r="54" spans="1:14" x14ac:dyDescent="0.2">
      <c r="A54" s="186" t="s">
        <v>206</v>
      </c>
      <c r="B54" s="185">
        <f t="shared" ref="B54:N54" si="11">SUM(B53)</f>
        <v>6050</v>
      </c>
      <c r="C54" s="185">
        <f t="shared" si="11"/>
        <v>6951.62</v>
      </c>
      <c r="D54" s="185">
        <f t="shared" si="11"/>
        <v>6723.65</v>
      </c>
      <c r="E54" s="185">
        <f t="shared" si="11"/>
        <v>4366.82</v>
      </c>
      <c r="F54" s="185">
        <f t="shared" si="11"/>
        <v>3885.95</v>
      </c>
      <c r="G54" s="185">
        <f t="shared" si="11"/>
        <v>2440</v>
      </c>
      <c r="H54" s="185">
        <f t="shared" si="11"/>
        <v>3736.37</v>
      </c>
      <c r="I54" s="185">
        <f t="shared" si="11"/>
        <v>1343.65</v>
      </c>
      <c r="J54" s="185">
        <f t="shared" si="11"/>
        <v>2986.36</v>
      </c>
      <c r="K54" s="185">
        <f t="shared" si="11"/>
        <v>170</v>
      </c>
      <c r="L54" s="185">
        <f t="shared" si="11"/>
        <v>100</v>
      </c>
      <c r="M54" s="185">
        <f t="shared" si="11"/>
        <v>30</v>
      </c>
      <c r="N54" s="185">
        <f t="shared" si="11"/>
        <v>38784.42</v>
      </c>
    </row>
    <row r="55" spans="1:14" x14ac:dyDescent="0.2">
      <c r="A55" s="188" t="s">
        <v>31</v>
      </c>
      <c r="B55" s="189">
        <f t="shared" ref="B55:N55" si="12">B47+B54+0</f>
        <v>-38606.69</v>
      </c>
      <c r="C55" s="189">
        <f t="shared" si="12"/>
        <v>-17590.460000000003</v>
      </c>
      <c r="D55" s="189">
        <f t="shared" si="12"/>
        <v>-17392.11</v>
      </c>
      <c r="E55" s="189">
        <f t="shared" si="12"/>
        <v>-19422.650000000001</v>
      </c>
      <c r="F55" s="189">
        <f t="shared" si="12"/>
        <v>-21277.21</v>
      </c>
      <c r="G55" s="189">
        <f t="shared" si="12"/>
        <v>-19402.080000000002</v>
      </c>
      <c r="H55" s="189">
        <f t="shared" si="12"/>
        <v>-23726.789999999997</v>
      </c>
      <c r="I55" s="189">
        <f t="shared" si="12"/>
        <v>-22745.82</v>
      </c>
      <c r="J55" s="189">
        <f t="shared" si="12"/>
        <v>-20729.400000000001</v>
      </c>
      <c r="K55" s="189">
        <f t="shared" si="12"/>
        <v>-24593.16</v>
      </c>
      <c r="L55" s="189">
        <f t="shared" si="12"/>
        <v>-24915.760000000002</v>
      </c>
      <c r="M55" s="189">
        <f t="shared" si="12"/>
        <v>-28331.08</v>
      </c>
      <c r="N55" s="189">
        <f t="shared" si="12"/>
        <v>-278733.20999999996</v>
      </c>
    </row>
  </sheetData>
  <mergeCells count="4">
    <mergeCell ref="A1:N1"/>
    <mergeCell ref="A2:N2"/>
    <mergeCell ref="A3:N3"/>
    <mergeCell ref="A4:N4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8FABF-2751-0942-9625-0FC9447298AE}">
  <sheetPr codeName="Sheet31"/>
  <dimension ref="A1:N38"/>
  <sheetViews>
    <sheetView topLeftCell="A15" workbookViewId="0">
      <selection activeCell="B27" sqref="B27:M31"/>
    </sheetView>
  </sheetViews>
  <sheetFormatPr defaultRowHeight="15.75" x14ac:dyDescent="0.25"/>
  <cols>
    <col min="1" max="1" width="49" bestFit="1" customWidth="1"/>
    <col min="2" max="13" width="8.125" bestFit="1" customWidth="1"/>
    <col min="14" max="14" width="8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396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190"/>
      <c r="B5" s="190"/>
      <c r="C5" s="190"/>
      <c r="D5" s="190"/>
      <c r="E5" s="190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8" x14ac:dyDescent="0.25">
      <c r="A6" s="190"/>
      <c r="B6" s="190"/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</row>
    <row r="7" spans="1:14" x14ac:dyDescent="0.25">
      <c r="A7" s="162" t="s">
        <v>187</v>
      </c>
      <c r="B7" s="171">
        <v>45658</v>
      </c>
      <c r="C7" s="171">
        <v>45689</v>
      </c>
      <c r="D7" s="171">
        <v>45717</v>
      </c>
      <c r="E7" s="171">
        <v>45748</v>
      </c>
      <c r="F7" s="171">
        <v>45778</v>
      </c>
      <c r="G7" s="171">
        <v>45809</v>
      </c>
      <c r="H7" s="171">
        <v>45839</v>
      </c>
      <c r="I7" s="171">
        <v>45870</v>
      </c>
      <c r="J7" s="171">
        <v>45901</v>
      </c>
      <c r="K7" s="171">
        <v>45931</v>
      </c>
      <c r="L7" s="171">
        <v>45962</v>
      </c>
      <c r="M7" s="171">
        <v>45992</v>
      </c>
      <c r="N7" s="172" t="s">
        <v>49</v>
      </c>
    </row>
    <row r="8" spans="1:14" s="159" customFormat="1" x14ac:dyDescent="0.25">
      <c r="A8" s="160" t="s">
        <v>190</v>
      </c>
      <c r="B8" s="161" t="s">
        <v>191</v>
      </c>
      <c r="C8" s="161" t="s">
        <v>191</v>
      </c>
      <c r="D8" s="161" t="s">
        <v>191</v>
      </c>
      <c r="E8" s="161" t="s">
        <v>191</v>
      </c>
      <c r="F8" s="161" t="s">
        <v>191</v>
      </c>
      <c r="G8" s="161" t="s">
        <v>191</v>
      </c>
      <c r="H8" s="161" t="s">
        <v>191</v>
      </c>
      <c r="I8" s="161" t="s">
        <v>191</v>
      </c>
      <c r="J8" s="161" t="s">
        <v>191</v>
      </c>
      <c r="K8" s="161" t="s">
        <v>191</v>
      </c>
      <c r="L8" s="161" t="s">
        <v>191</v>
      </c>
      <c r="M8" s="161" t="s">
        <v>191</v>
      </c>
      <c r="N8" s="161" t="s">
        <v>191</v>
      </c>
    </row>
    <row r="9" spans="1:14" x14ac:dyDescent="0.25">
      <c r="A9" s="151" t="s">
        <v>255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91" t="s">
        <v>397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>
        <f>SUM(B10:M10)</f>
        <v>0</v>
      </c>
    </row>
    <row r="11" spans="1:14" x14ac:dyDescent="0.25">
      <c r="A11" s="158" t="s">
        <v>257</v>
      </c>
      <c r="B11" s="157">
        <f t="shared" ref="B11:N11" si="0">SUM(B10)</f>
        <v>0</v>
      </c>
      <c r="C11" s="157">
        <f t="shared" si="0"/>
        <v>0</v>
      </c>
      <c r="D11" s="157">
        <f t="shared" si="0"/>
        <v>0</v>
      </c>
      <c r="E11" s="157">
        <f t="shared" si="0"/>
        <v>0</v>
      </c>
      <c r="F11" s="157">
        <f t="shared" si="0"/>
        <v>0</v>
      </c>
      <c r="G11" s="157">
        <f t="shared" si="0"/>
        <v>0</v>
      </c>
      <c r="H11" s="157">
        <f t="shared" si="0"/>
        <v>0</v>
      </c>
      <c r="I11" s="157">
        <f t="shared" si="0"/>
        <v>0</v>
      </c>
      <c r="J11" s="157">
        <f t="shared" si="0"/>
        <v>0</v>
      </c>
      <c r="K11" s="157">
        <f t="shared" si="0"/>
        <v>0</v>
      </c>
      <c r="L11" s="157">
        <f t="shared" si="0"/>
        <v>0</v>
      </c>
      <c r="M11" s="157">
        <f t="shared" si="0"/>
        <v>0</v>
      </c>
      <c r="N11" s="157">
        <f t="shared" si="0"/>
        <v>0</v>
      </c>
    </row>
    <row r="12" spans="1:14" x14ac:dyDescent="0.25">
      <c r="A12" s="149" t="s">
        <v>193</v>
      </c>
      <c r="B12" s="150">
        <f t="shared" ref="B12:N12" si="1">0-B11</f>
        <v>0</v>
      </c>
      <c r="C12" s="150">
        <f t="shared" si="1"/>
        <v>0</v>
      </c>
      <c r="D12" s="150">
        <f t="shared" si="1"/>
        <v>0</v>
      </c>
      <c r="E12" s="150">
        <f t="shared" si="1"/>
        <v>0</v>
      </c>
      <c r="F12" s="150">
        <f t="shared" si="1"/>
        <v>0</v>
      </c>
      <c r="G12" s="150">
        <f t="shared" si="1"/>
        <v>0</v>
      </c>
      <c r="H12" s="150">
        <f t="shared" si="1"/>
        <v>0</v>
      </c>
      <c r="I12" s="150">
        <f t="shared" si="1"/>
        <v>0</v>
      </c>
      <c r="J12" s="150">
        <f t="shared" si="1"/>
        <v>0</v>
      </c>
      <c r="K12" s="150">
        <f t="shared" si="1"/>
        <v>0</v>
      </c>
      <c r="L12" s="150">
        <f t="shared" si="1"/>
        <v>0</v>
      </c>
      <c r="M12" s="150">
        <f t="shared" si="1"/>
        <v>0</v>
      </c>
      <c r="N12" s="150">
        <f t="shared" si="1"/>
        <v>0</v>
      </c>
    </row>
    <row r="13" spans="1:14" x14ac:dyDescent="0.25">
      <c r="A13" s="151" t="s">
        <v>194</v>
      </c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</row>
    <row r="14" spans="1:14" x14ac:dyDescent="0.25">
      <c r="A14" s="153" t="s">
        <v>195</v>
      </c>
      <c r="B14" s="152"/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52"/>
    </row>
    <row r="15" spans="1:14" x14ac:dyDescent="0.25">
      <c r="A15" s="217" t="s">
        <v>27</v>
      </c>
      <c r="B15" s="155">
        <v>0</v>
      </c>
      <c r="C15" s="155">
        <v>0</v>
      </c>
      <c r="D15" s="155">
        <v>0</v>
      </c>
      <c r="E15" s="155">
        <v>0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f t="shared" ref="N15:N24" si="2">SUM(B15:M15)</f>
        <v>0</v>
      </c>
    </row>
    <row r="16" spans="1:14" x14ac:dyDescent="0.25">
      <c r="A16" s="154" t="s">
        <v>212</v>
      </c>
      <c r="B16" s="155">
        <v>6</v>
      </c>
      <c r="C16" s="155">
        <v>6</v>
      </c>
      <c r="D16" s="155">
        <v>6</v>
      </c>
      <c r="E16" s="155">
        <v>6</v>
      </c>
      <c r="F16" s="155">
        <v>6</v>
      </c>
      <c r="G16" s="155">
        <v>6</v>
      </c>
      <c r="H16" s="155">
        <v>6</v>
      </c>
      <c r="I16" s="155">
        <v>6</v>
      </c>
      <c r="J16" s="155">
        <v>6</v>
      </c>
      <c r="K16" s="155">
        <v>6</v>
      </c>
      <c r="L16" s="155">
        <v>6</v>
      </c>
      <c r="M16" s="155">
        <v>6</v>
      </c>
      <c r="N16" s="155">
        <f t="shared" si="2"/>
        <v>72</v>
      </c>
    </row>
    <row r="17" spans="1:14" x14ac:dyDescent="0.25">
      <c r="A17" s="154" t="s">
        <v>213</v>
      </c>
      <c r="B17" s="155">
        <v>41</v>
      </c>
      <c r="C17" s="155">
        <v>41</v>
      </c>
      <c r="D17" s="155">
        <v>41</v>
      </c>
      <c r="E17" s="155">
        <v>41</v>
      </c>
      <c r="F17" s="155">
        <v>41</v>
      </c>
      <c r="G17" s="155">
        <v>41</v>
      </c>
      <c r="H17" s="155">
        <v>41</v>
      </c>
      <c r="I17" s="155">
        <v>41</v>
      </c>
      <c r="J17" s="155">
        <v>41</v>
      </c>
      <c r="K17" s="155">
        <v>41</v>
      </c>
      <c r="L17" s="155">
        <v>41</v>
      </c>
      <c r="M17" s="155">
        <v>41</v>
      </c>
      <c r="N17" s="155">
        <f t="shared" si="2"/>
        <v>492</v>
      </c>
    </row>
    <row r="18" spans="1:14" x14ac:dyDescent="0.25">
      <c r="A18" s="154" t="s">
        <v>214</v>
      </c>
      <c r="B18" s="155">
        <v>20</v>
      </c>
      <c r="C18" s="155">
        <v>20</v>
      </c>
      <c r="D18" s="155">
        <v>20</v>
      </c>
      <c r="E18" s="155">
        <v>20</v>
      </c>
      <c r="F18" s="155">
        <v>20</v>
      </c>
      <c r="G18" s="155">
        <v>20</v>
      </c>
      <c r="H18" s="155">
        <v>20</v>
      </c>
      <c r="I18" s="155">
        <v>20</v>
      </c>
      <c r="J18" s="155">
        <v>20</v>
      </c>
      <c r="K18" s="155">
        <v>20</v>
      </c>
      <c r="L18" s="155">
        <v>20</v>
      </c>
      <c r="M18" s="155">
        <v>20</v>
      </c>
      <c r="N18" s="155">
        <f t="shared" si="2"/>
        <v>240</v>
      </c>
    </row>
    <row r="19" spans="1:14" x14ac:dyDescent="0.25">
      <c r="A19" s="154" t="s">
        <v>264</v>
      </c>
      <c r="B19" s="155">
        <v>10</v>
      </c>
      <c r="C19" s="155">
        <v>10</v>
      </c>
      <c r="D19" s="155">
        <v>10</v>
      </c>
      <c r="E19" s="155">
        <v>10</v>
      </c>
      <c r="F19" s="155">
        <v>10</v>
      </c>
      <c r="G19" s="155">
        <v>10</v>
      </c>
      <c r="H19" s="155">
        <v>10</v>
      </c>
      <c r="I19" s="155">
        <v>10</v>
      </c>
      <c r="J19" s="155">
        <v>10</v>
      </c>
      <c r="K19" s="155">
        <v>10</v>
      </c>
      <c r="L19" s="155">
        <v>10</v>
      </c>
      <c r="M19" s="155">
        <v>10</v>
      </c>
      <c r="N19" s="155">
        <f t="shared" si="2"/>
        <v>120</v>
      </c>
    </row>
    <row r="20" spans="1:14" x14ac:dyDescent="0.25">
      <c r="A20" s="154" t="s">
        <v>267</v>
      </c>
      <c r="B20" s="155">
        <v>170</v>
      </c>
      <c r="C20" s="155">
        <v>170</v>
      </c>
      <c r="D20" s="155">
        <v>170</v>
      </c>
      <c r="E20" s="155">
        <v>170</v>
      </c>
      <c r="F20" s="155">
        <v>170</v>
      </c>
      <c r="G20" s="155">
        <v>170</v>
      </c>
      <c r="H20" s="155">
        <v>170</v>
      </c>
      <c r="I20" s="155">
        <v>170</v>
      </c>
      <c r="J20" s="155">
        <v>170</v>
      </c>
      <c r="K20" s="155">
        <v>170</v>
      </c>
      <c r="L20" s="155">
        <v>150</v>
      </c>
      <c r="M20" s="155">
        <v>150</v>
      </c>
      <c r="N20" s="155">
        <f t="shared" si="2"/>
        <v>2000</v>
      </c>
    </row>
    <row r="21" spans="1:14" x14ac:dyDescent="0.25">
      <c r="A21" s="154" t="s">
        <v>270</v>
      </c>
      <c r="B21" s="155">
        <v>15</v>
      </c>
      <c r="C21" s="155">
        <v>15</v>
      </c>
      <c r="D21" s="155">
        <v>15</v>
      </c>
      <c r="E21" s="155">
        <v>15</v>
      </c>
      <c r="F21" s="155">
        <v>15</v>
      </c>
      <c r="G21" s="155">
        <v>15</v>
      </c>
      <c r="H21" s="155">
        <v>15</v>
      </c>
      <c r="I21" s="155">
        <v>15</v>
      </c>
      <c r="J21" s="155">
        <v>15</v>
      </c>
      <c r="K21" s="155">
        <v>15</v>
      </c>
      <c r="L21" s="155">
        <v>15</v>
      </c>
      <c r="M21" s="155">
        <v>15</v>
      </c>
      <c r="N21" s="155">
        <f t="shared" si="2"/>
        <v>180</v>
      </c>
    </row>
    <row r="22" spans="1:14" x14ac:dyDescent="0.25">
      <c r="A22" s="217" t="s">
        <v>274</v>
      </c>
      <c r="B22" s="155">
        <v>200</v>
      </c>
      <c r="C22" s="155">
        <v>0</v>
      </c>
      <c r="D22" s="155">
        <v>0</v>
      </c>
      <c r="E22" s="155">
        <v>0</v>
      </c>
      <c r="F22" s="155">
        <v>0</v>
      </c>
      <c r="G22" s="155">
        <v>0</v>
      </c>
      <c r="H22" s="155">
        <v>0</v>
      </c>
      <c r="I22" s="155">
        <v>0</v>
      </c>
      <c r="J22" s="155">
        <v>0</v>
      </c>
      <c r="K22" s="155">
        <v>0</v>
      </c>
      <c r="L22" s="155">
        <v>0</v>
      </c>
      <c r="M22" s="155">
        <v>600</v>
      </c>
      <c r="N22" s="155">
        <f t="shared" si="2"/>
        <v>800</v>
      </c>
    </row>
    <row r="23" spans="1:14" x14ac:dyDescent="0.25">
      <c r="A23" s="217" t="s">
        <v>219</v>
      </c>
      <c r="B23" s="218">
        <v>60.32</v>
      </c>
      <c r="C23" s="218">
        <v>60.32</v>
      </c>
      <c r="D23" s="218">
        <v>60.32</v>
      </c>
      <c r="E23" s="218">
        <v>60.32</v>
      </c>
      <c r="F23" s="218">
        <v>60.32</v>
      </c>
      <c r="G23" s="218">
        <v>60.32</v>
      </c>
      <c r="H23" s="218">
        <v>60.32</v>
      </c>
      <c r="I23" s="218">
        <v>60.32</v>
      </c>
      <c r="J23" s="218">
        <v>60.32</v>
      </c>
      <c r="K23" s="218">
        <v>60.32</v>
      </c>
      <c r="L23" s="218">
        <v>60.32</v>
      </c>
      <c r="M23" s="218">
        <v>60.32</v>
      </c>
      <c r="N23" s="155">
        <f t="shared" si="2"/>
        <v>723.84000000000015</v>
      </c>
    </row>
    <row r="24" spans="1:14" x14ac:dyDescent="0.25">
      <c r="A24" s="217" t="s">
        <v>220</v>
      </c>
      <c r="B24" s="218">
        <v>16.98</v>
      </c>
      <c r="C24" s="218">
        <v>16.98</v>
      </c>
      <c r="D24" s="218">
        <v>16.98</v>
      </c>
      <c r="E24" s="218">
        <v>16.98</v>
      </c>
      <c r="F24" s="218">
        <v>16.98</v>
      </c>
      <c r="G24" s="218">
        <v>16.98</v>
      </c>
      <c r="H24" s="218">
        <v>16.98</v>
      </c>
      <c r="I24" s="218">
        <v>16.98</v>
      </c>
      <c r="J24" s="218">
        <v>16.98</v>
      </c>
      <c r="K24" s="218">
        <v>16.98</v>
      </c>
      <c r="L24" s="218">
        <v>16.98</v>
      </c>
      <c r="M24" s="218">
        <v>16.98</v>
      </c>
      <c r="N24" s="155">
        <f t="shared" si="2"/>
        <v>203.75999999999996</v>
      </c>
    </row>
    <row r="25" spans="1:14" x14ac:dyDescent="0.25">
      <c r="A25" s="156" t="s">
        <v>196</v>
      </c>
      <c r="B25" s="157">
        <f t="shared" ref="B25:N25" si="3">SUM(B15:B24)</f>
        <v>539.30000000000007</v>
      </c>
      <c r="C25" s="157">
        <f t="shared" si="3"/>
        <v>339.3</v>
      </c>
      <c r="D25" s="157">
        <f t="shared" si="3"/>
        <v>339.3</v>
      </c>
      <c r="E25" s="157">
        <f t="shared" si="3"/>
        <v>339.3</v>
      </c>
      <c r="F25" s="157">
        <f t="shared" si="3"/>
        <v>339.3</v>
      </c>
      <c r="G25" s="157">
        <f t="shared" si="3"/>
        <v>339.3</v>
      </c>
      <c r="H25" s="157">
        <f t="shared" si="3"/>
        <v>339.3</v>
      </c>
      <c r="I25" s="157">
        <f t="shared" si="3"/>
        <v>339.3</v>
      </c>
      <c r="J25" s="157">
        <f t="shared" si="3"/>
        <v>339.3</v>
      </c>
      <c r="K25" s="157">
        <f t="shared" si="3"/>
        <v>339.3</v>
      </c>
      <c r="L25" s="157">
        <f t="shared" si="3"/>
        <v>319.3</v>
      </c>
      <c r="M25" s="157">
        <f t="shared" si="3"/>
        <v>919.30000000000007</v>
      </c>
      <c r="N25" s="157">
        <f t="shared" si="3"/>
        <v>4831.6000000000004</v>
      </c>
    </row>
    <row r="26" spans="1:14" x14ac:dyDescent="0.25">
      <c r="A26" s="153" t="s">
        <v>222</v>
      </c>
      <c r="B26" s="152"/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</row>
    <row r="27" spans="1:14" x14ac:dyDescent="0.25">
      <c r="A27" s="154" t="s">
        <v>223</v>
      </c>
      <c r="B27" s="155">
        <v>9064.84</v>
      </c>
      <c r="C27" s="155">
        <v>9541.93</v>
      </c>
      <c r="D27" s="155">
        <v>10019.030000000001</v>
      </c>
      <c r="E27" s="155">
        <v>10496.13</v>
      </c>
      <c r="F27" s="155">
        <v>10973.22</v>
      </c>
      <c r="G27" s="155">
        <v>9541.93</v>
      </c>
      <c r="H27" s="155">
        <v>10973.22</v>
      </c>
      <c r="I27" s="155">
        <v>10496.13</v>
      </c>
      <c r="J27" s="155">
        <v>10019.030000000001</v>
      </c>
      <c r="K27" s="155">
        <v>10973.22</v>
      </c>
      <c r="L27" s="155">
        <v>10019.030000000001</v>
      </c>
      <c r="M27" s="155">
        <v>11964.9</v>
      </c>
      <c r="N27" s="155">
        <f t="shared" ref="N27:N31" si="4">SUM(B27:M27)</f>
        <v>124082.61</v>
      </c>
    </row>
    <row r="28" spans="1:14" x14ac:dyDescent="0.25">
      <c r="A28" s="154" t="s">
        <v>224</v>
      </c>
      <c r="B28" s="155">
        <v>1409.74</v>
      </c>
      <c r="C28" s="155">
        <v>1483.94</v>
      </c>
      <c r="D28" s="155">
        <v>1558.14</v>
      </c>
      <c r="E28" s="155">
        <v>1632.33</v>
      </c>
      <c r="F28" s="155">
        <v>1706.53</v>
      </c>
      <c r="G28" s="155">
        <v>1483.94</v>
      </c>
      <c r="H28" s="155">
        <v>1706.53</v>
      </c>
      <c r="I28" s="155">
        <v>1632.33</v>
      </c>
      <c r="J28" s="155">
        <v>1558.14</v>
      </c>
      <c r="K28" s="155">
        <v>1706.53</v>
      </c>
      <c r="L28" s="155">
        <v>1558.14</v>
      </c>
      <c r="M28" s="155">
        <v>1632.33</v>
      </c>
      <c r="N28" s="155">
        <f t="shared" si="4"/>
        <v>19068.620000000003</v>
      </c>
    </row>
    <row r="29" spans="1:14" x14ac:dyDescent="0.25">
      <c r="A29" s="154" t="s">
        <v>225</v>
      </c>
      <c r="B29" s="155">
        <v>96.05</v>
      </c>
      <c r="C29" s="155">
        <v>101.11</v>
      </c>
      <c r="D29" s="155">
        <v>106.16</v>
      </c>
      <c r="E29" s="155">
        <v>111.22</v>
      </c>
      <c r="F29" s="155">
        <v>116.27</v>
      </c>
      <c r="G29" s="155">
        <v>101.11</v>
      </c>
      <c r="H29" s="155">
        <v>116.27</v>
      </c>
      <c r="I29" s="155">
        <v>111.22</v>
      </c>
      <c r="J29" s="155">
        <v>106.16</v>
      </c>
      <c r="K29" s="155">
        <v>116.27</v>
      </c>
      <c r="L29" s="155">
        <v>106.16</v>
      </c>
      <c r="M29" s="155">
        <v>111.22</v>
      </c>
      <c r="N29" s="155">
        <f t="shared" si="4"/>
        <v>1299.22</v>
      </c>
    </row>
    <row r="30" spans="1:14" x14ac:dyDescent="0.25">
      <c r="A30" s="154" t="s">
        <v>226</v>
      </c>
      <c r="B30" s="155">
        <v>887.94</v>
      </c>
      <c r="C30" s="155">
        <v>862.42</v>
      </c>
      <c r="D30" s="155">
        <v>905.54</v>
      </c>
      <c r="E30" s="155">
        <v>948.66</v>
      </c>
      <c r="F30" s="155">
        <v>991.78</v>
      </c>
      <c r="G30" s="155">
        <v>862.42</v>
      </c>
      <c r="H30" s="155">
        <v>991.78</v>
      </c>
      <c r="I30" s="155">
        <v>948.66</v>
      </c>
      <c r="J30" s="155">
        <v>905.54</v>
      </c>
      <c r="K30" s="155">
        <v>991.78</v>
      </c>
      <c r="L30" s="155">
        <v>905.54</v>
      </c>
      <c r="M30" s="155">
        <v>948.66</v>
      </c>
      <c r="N30" s="155">
        <f t="shared" si="4"/>
        <v>11150.720000000001</v>
      </c>
    </row>
    <row r="31" spans="1:14" x14ac:dyDescent="0.25">
      <c r="A31" s="154" t="s">
        <v>227</v>
      </c>
      <c r="B31" s="155">
        <v>289.17</v>
      </c>
      <c r="C31" s="155">
        <v>238.55</v>
      </c>
      <c r="D31" s="155">
        <v>250.48</v>
      </c>
      <c r="E31" s="155">
        <v>262.39999999999998</v>
      </c>
      <c r="F31" s="155">
        <v>274.33</v>
      </c>
      <c r="G31" s="155">
        <v>238.55</v>
      </c>
      <c r="H31" s="155">
        <v>274.33</v>
      </c>
      <c r="I31" s="155">
        <v>262.39999999999998</v>
      </c>
      <c r="J31" s="155">
        <v>250.48</v>
      </c>
      <c r="K31" s="155">
        <v>274.33</v>
      </c>
      <c r="L31" s="155">
        <v>250.48</v>
      </c>
      <c r="M31" s="155">
        <v>262.39999999999998</v>
      </c>
      <c r="N31" s="155">
        <f t="shared" si="4"/>
        <v>3127.8999999999996</v>
      </c>
    </row>
    <row r="32" spans="1:14" x14ac:dyDescent="0.25">
      <c r="A32" s="156" t="s">
        <v>228</v>
      </c>
      <c r="B32" s="157">
        <f>SUM(B27:B31)</f>
        <v>11747.74</v>
      </c>
      <c r="C32" s="157">
        <f t="shared" ref="C32:M32" si="5">SUM(C27:C31)</f>
        <v>12227.95</v>
      </c>
      <c r="D32" s="157">
        <f t="shared" si="5"/>
        <v>12839.349999999999</v>
      </c>
      <c r="E32" s="157">
        <f t="shared" si="5"/>
        <v>13450.739999999998</v>
      </c>
      <c r="F32" s="157">
        <f t="shared" si="5"/>
        <v>14062.130000000001</v>
      </c>
      <c r="G32" s="157">
        <f t="shared" si="5"/>
        <v>12227.95</v>
      </c>
      <c r="H32" s="157">
        <f t="shared" si="5"/>
        <v>14062.130000000001</v>
      </c>
      <c r="I32" s="157">
        <f t="shared" si="5"/>
        <v>13450.739999999998</v>
      </c>
      <c r="J32" s="157">
        <f t="shared" si="5"/>
        <v>12839.349999999999</v>
      </c>
      <c r="K32" s="157">
        <f t="shared" si="5"/>
        <v>14062.130000000001</v>
      </c>
      <c r="L32" s="157">
        <f t="shared" si="5"/>
        <v>12839.349999999999</v>
      </c>
      <c r="M32" s="157">
        <f t="shared" si="5"/>
        <v>14919.509999999998</v>
      </c>
      <c r="N32" s="157">
        <f t="shared" ref="N32" si="6">SUM(N27:N31)</f>
        <v>158729.07</v>
      </c>
    </row>
    <row r="33" spans="1:14" x14ac:dyDescent="0.25">
      <c r="A33" s="158" t="s">
        <v>197</v>
      </c>
      <c r="B33" s="157">
        <f t="shared" ref="B33:N33" si="7">SUM(B25,B32)</f>
        <v>12287.039999999999</v>
      </c>
      <c r="C33" s="157">
        <f t="shared" si="7"/>
        <v>12567.25</v>
      </c>
      <c r="D33" s="157">
        <f t="shared" si="7"/>
        <v>13178.649999999998</v>
      </c>
      <c r="E33" s="157">
        <f t="shared" si="7"/>
        <v>13790.039999999997</v>
      </c>
      <c r="F33" s="157">
        <f t="shared" si="7"/>
        <v>14401.43</v>
      </c>
      <c r="G33" s="157">
        <f t="shared" si="7"/>
        <v>12567.25</v>
      </c>
      <c r="H33" s="157">
        <f t="shared" si="7"/>
        <v>14401.43</v>
      </c>
      <c r="I33" s="157">
        <f t="shared" si="7"/>
        <v>13790.039999999997</v>
      </c>
      <c r="J33" s="157">
        <f t="shared" si="7"/>
        <v>13178.649999999998</v>
      </c>
      <c r="K33" s="157">
        <f t="shared" si="7"/>
        <v>14401.43</v>
      </c>
      <c r="L33" s="157">
        <f t="shared" si="7"/>
        <v>13158.649999999998</v>
      </c>
      <c r="M33" s="157">
        <f t="shared" si="7"/>
        <v>15838.809999999998</v>
      </c>
      <c r="N33" s="157">
        <f t="shared" si="7"/>
        <v>163560.67000000001</v>
      </c>
    </row>
    <row r="34" spans="1:14" x14ac:dyDescent="0.25">
      <c r="A34" s="149" t="s">
        <v>198</v>
      </c>
      <c r="B34" s="150">
        <f t="shared" ref="B34:N34" si="8">B12-B33</f>
        <v>-12287.039999999999</v>
      </c>
      <c r="C34" s="150">
        <f t="shared" si="8"/>
        <v>-12567.25</v>
      </c>
      <c r="D34" s="150">
        <f t="shared" si="8"/>
        <v>-13178.649999999998</v>
      </c>
      <c r="E34" s="150">
        <f t="shared" si="8"/>
        <v>-13790.039999999997</v>
      </c>
      <c r="F34" s="150">
        <f t="shared" si="8"/>
        <v>-14401.43</v>
      </c>
      <c r="G34" s="150">
        <f t="shared" si="8"/>
        <v>-12567.25</v>
      </c>
      <c r="H34" s="150">
        <f t="shared" si="8"/>
        <v>-14401.43</v>
      </c>
      <c r="I34" s="150">
        <f t="shared" si="8"/>
        <v>-13790.039999999997</v>
      </c>
      <c r="J34" s="150">
        <f t="shared" si="8"/>
        <v>-13178.649999999998</v>
      </c>
      <c r="K34" s="150">
        <f t="shared" si="8"/>
        <v>-14401.43</v>
      </c>
      <c r="L34" s="150">
        <f t="shared" si="8"/>
        <v>-13158.649999999998</v>
      </c>
      <c r="M34" s="150">
        <f t="shared" si="8"/>
        <v>-15838.809999999998</v>
      </c>
      <c r="N34" s="150">
        <f t="shared" si="8"/>
        <v>-163560.67000000001</v>
      </c>
    </row>
    <row r="35" spans="1:14" x14ac:dyDescent="0.25">
      <c r="A35" s="149" t="s">
        <v>31</v>
      </c>
      <c r="B35" s="150">
        <f t="shared" ref="B35:N35" si="9">B34+0+0</f>
        <v>-12287.039999999999</v>
      </c>
      <c r="C35" s="150">
        <f t="shared" si="9"/>
        <v>-12567.25</v>
      </c>
      <c r="D35" s="150">
        <f t="shared" si="9"/>
        <v>-13178.649999999998</v>
      </c>
      <c r="E35" s="150">
        <f t="shared" si="9"/>
        <v>-13790.039999999997</v>
      </c>
      <c r="F35" s="150">
        <f t="shared" si="9"/>
        <v>-14401.43</v>
      </c>
      <c r="G35" s="150">
        <f t="shared" si="9"/>
        <v>-12567.25</v>
      </c>
      <c r="H35" s="150">
        <f t="shared" si="9"/>
        <v>-14401.43</v>
      </c>
      <c r="I35" s="150">
        <f t="shared" si="9"/>
        <v>-13790.039999999997</v>
      </c>
      <c r="J35" s="150">
        <f t="shared" si="9"/>
        <v>-13178.649999999998</v>
      </c>
      <c r="K35" s="150">
        <f t="shared" si="9"/>
        <v>-14401.43</v>
      </c>
      <c r="L35" s="150">
        <f t="shared" si="9"/>
        <v>-13158.649999999998</v>
      </c>
      <c r="M35" s="150">
        <f t="shared" si="9"/>
        <v>-15838.809999999998</v>
      </c>
      <c r="N35" s="150">
        <f t="shared" si="9"/>
        <v>-163560.67000000001</v>
      </c>
    </row>
    <row r="38" spans="1:14" x14ac:dyDescent="0.25">
      <c r="A38" s="151" t="s">
        <v>398</v>
      </c>
    </row>
  </sheetData>
  <mergeCells count="4">
    <mergeCell ref="A1:N1"/>
    <mergeCell ref="A2:N2"/>
    <mergeCell ref="A3:N3"/>
    <mergeCell ref="A4:N4"/>
  </mergeCell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A8EA8-C154-E444-B267-EF1283A224CC}">
  <sheetPr codeName="Sheet32"/>
  <dimension ref="A1:N38"/>
  <sheetViews>
    <sheetView topLeftCell="A23" workbookViewId="0">
      <selection activeCell="B30" sqref="B30:M34"/>
    </sheetView>
  </sheetViews>
  <sheetFormatPr defaultRowHeight="15.75" x14ac:dyDescent="0.25"/>
  <cols>
    <col min="1" max="1" width="49" bestFit="1" customWidth="1"/>
    <col min="2" max="13" width="8.125" bestFit="1" customWidth="1"/>
    <col min="14" max="14" width="8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125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49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191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399</v>
      </c>
      <c r="B11" s="155">
        <v>0</v>
      </c>
      <c r="C11" s="155">
        <v>0</v>
      </c>
      <c r="D11" s="155">
        <v>200</v>
      </c>
      <c r="E11" s="155">
        <v>200</v>
      </c>
      <c r="F11" s="155">
        <v>200</v>
      </c>
      <c r="G11" s="155">
        <v>200</v>
      </c>
      <c r="H11" s="155">
        <v>200</v>
      </c>
      <c r="I11" s="155">
        <v>200</v>
      </c>
      <c r="J11" s="155">
        <v>1000</v>
      </c>
      <c r="K11" s="155">
        <v>0</v>
      </c>
      <c r="L11" s="155">
        <v>0</v>
      </c>
      <c r="M11" s="155">
        <v>0</v>
      </c>
      <c r="N11" s="155">
        <f t="shared" ref="N11:N27" si="1">SUM(B11:M11)</f>
        <v>2200</v>
      </c>
    </row>
    <row r="12" spans="1:14" x14ac:dyDescent="0.25">
      <c r="A12" s="217" t="s">
        <v>258</v>
      </c>
      <c r="B12" s="155">
        <v>0</v>
      </c>
      <c r="C12" s="155">
        <v>0</v>
      </c>
      <c r="D12" s="155">
        <v>0</v>
      </c>
      <c r="E12" s="155">
        <v>0</v>
      </c>
      <c r="F12" s="155">
        <v>300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f t="shared" si="1"/>
        <v>300</v>
      </c>
    </row>
    <row r="13" spans="1:14" x14ac:dyDescent="0.25">
      <c r="A13" s="154" t="s">
        <v>344</v>
      </c>
      <c r="B13" s="155">
        <v>0</v>
      </c>
      <c r="C13" s="155">
        <v>800</v>
      </c>
      <c r="D13" s="155">
        <v>0</v>
      </c>
      <c r="E13" s="155">
        <v>0</v>
      </c>
      <c r="F13" s="155">
        <v>0</v>
      </c>
      <c r="G13" s="155">
        <v>0</v>
      </c>
      <c r="H13" s="155">
        <v>0</v>
      </c>
      <c r="I13" s="155">
        <v>200</v>
      </c>
      <c r="J13" s="155">
        <v>0</v>
      </c>
      <c r="K13" s="155">
        <v>0</v>
      </c>
      <c r="L13" s="155">
        <v>0</v>
      </c>
      <c r="M13" s="155">
        <v>0</v>
      </c>
      <c r="N13" s="155">
        <f t="shared" si="1"/>
        <v>1000</v>
      </c>
    </row>
    <row r="14" spans="1:14" x14ac:dyDescent="0.25">
      <c r="A14" s="154" t="s">
        <v>353</v>
      </c>
      <c r="B14" s="155">
        <v>0</v>
      </c>
      <c r="C14" s="155">
        <v>890</v>
      </c>
      <c r="D14" s="155">
        <v>890</v>
      </c>
      <c r="E14" s="155">
        <v>890</v>
      </c>
      <c r="F14" s="155">
        <v>890</v>
      </c>
      <c r="G14" s="155">
        <v>890</v>
      </c>
      <c r="H14" s="155">
        <v>890</v>
      </c>
      <c r="I14" s="155">
        <v>890</v>
      </c>
      <c r="J14" s="155">
        <v>890</v>
      </c>
      <c r="K14" s="155">
        <v>890</v>
      </c>
      <c r="L14" s="155">
        <v>890</v>
      </c>
      <c r="M14" s="155">
        <v>0</v>
      </c>
      <c r="N14" s="155">
        <f t="shared" si="1"/>
        <v>8900</v>
      </c>
    </row>
    <row r="15" spans="1:14" x14ac:dyDescent="0.25">
      <c r="A15" s="154" t="s">
        <v>336</v>
      </c>
      <c r="B15" s="155">
        <v>133.33000000000001</v>
      </c>
      <c r="C15" s="155">
        <v>133.33000000000001</v>
      </c>
      <c r="D15" s="155">
        <v>133.33000000000001</v>
      </c>
      <c r="E15" s="155">
        <v>133.33000000000001</v>
      </c>
      <c r="F15" s="155">
        <v>133.33000000000001</v>
      </c>
      <c r="G15" s="155">
        <v>133.33000000000001</v>
      </c>
      <c r="H15" s="155">
        <v>133.33000000000001</v>
      </c>
      <c r="I15" s="155">
        <v>133.33000000000001</v>
      </c>
      <c r="J15" s="155">
        <v>133.33000000000001</v>
      </c>
      <c r="K15" s="155">
        <v>133.33000000000001</v>
      </c>
      <c r="L15" s="155">
        <v>133.33000000000001</v>
      </c>
      <c r="M15" s="155">
        <v>133.37</v>
      </c>
      <c r="N15" s="155">
        <f t="shared" si="1"/>
        <v>1600</v>
      </c>
    </row>
    <row r="16" spans="1:14" x14ac:dyDescent="0.25">
      <c r="A16" s="154" t="s">
        <v>27</v>
      </c>
      <c r="B16" s="155">
        <v>0</v>
      </c>
      <c r="C16" s="155">
        <v>500</v>
      </c>
      <c r="D16" s="155">
        <v>0</v>
      </c>
      <c r="E16" s="155">
        <v>0</v>
      </c>
      <c r="F16" s="155">
        <v>250</v>
      </c>
      <c r="G16" s="155">
        <v>0</v>
      </c>
      <c r="H16" s="155">
        <v>0</v>
      </c>
      <c r="I16" s="155">
        <v>250</v>
      </c>
      <c r="J16" s="155">
        <v>0</v>
      </c>
      <c r="K16" s="155">
        <v>0</v>
      </c>
      <c r="L16" s="155">
        <v>0</v>
      </c>
      <c r="M16" s="155">
        <v>0</v>
      </c>
      <c r="N16" s="155">
        <f t="shared" si="1"/>
        <v>1000</v>
      </c>
    </row>
    <row r="17" spans="1:14" x14ac:dyDescent="0.25">
      <c r="A17" s="154" t="s">
        <v>212</v>
      </c>
      <c r="B17" s="155">
        <v>80</v>
      </c>
      <c r="C17" s="155">
        <v>80</v>
      </c>
      <c r="D17" s="155">
        <v>80</v>
      </c>
      <c r="E17" s="155">
        <v>80</v>
      </c>
      <c r="F17" s="155">
        <v>80</v>
      </c>
      <c r="G17" s="155">
        <v>80</v>
      </c>
      <c r="H17" s="155">
        <v>80</v>
      </c>
      <c r="I17" s="155">
        <v>80</v>
      </c>
      <c r="J17" s="155">
        <v>80</v>
      </c>
      <c r="K17" s="155">
        <v>80</v>
      </c>
      <c r="L17" s="155">
        <v>80</v>
      </c>
      <c r="M17" s="155">
        <v>80</v>
      </c>
      <c r="N17" s="155">
        <f t="shared" si="1"/>
        <v>960</v>
      </c>
    </row>
    <row r="18" spans="1:14" x14ac:dyDescent="0.25">
      <c r="A18" s="154" t="s">
        <v>213</v>
      </c>
      <c r="B18" s="155">
        <v>40</v>
      </c>
      <c r="C18" s="155">
        <v>40</v>
      </c>
      <c r="D18" s="155">
        <v>40</v>
      </c>
      <c r="E18" s="155">
        <v>40</v>
      </c>
      <c r="F18" s="155">
        <v>40</v>
      </c>
      <c r="G18" s="155">
        <v>40</v>
      </c>
      <c r="H18" s="155">
        <v>40</v>
      </c>
      <c r="I18" s="155">
        <v>40</v>
      </c>
      <c r="J18" s="155">
        <v>40</v>
      </c>
      <c r="K18" s="155">
        <v>40</v>
      </c>
      <c r="L18" s="155">
        <v>40</v>
      </c>
      <c r="M18" s="155">
        <v>40</v>
      </c>
      <c r="N18" s="155">
        <f t="shared" si="1"/>
        <v>480</v>
      </c>
    </row>
    <row r="19" spans="1:14" x14ac:dyDescent="0.25">
      <c r="A19" s="154" t="s">
        <v>369</v>
      </c>
      <c r="B19" s="155">
        <v>0</v>
      </c>
      <c r="C19" s="155">
        <v>0</v>
      </c>
      <c r="D19" s="155">
        <v>0</v>
      </c>
      <c r="E19" s="155">
        <v>0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f t="shared" si="1"/>
        <v>0</v>
      </c>
    </row>
    <row r="20" spans="1:14" x14ac:dyDescent="0.25">
      <c r="A20" s="154" t="s">
        <v>214</v>
      </c>
      <c r="B20" s="155">
        <v>55</v>
      </c>
      <c r="C20" s="155">
        <v>55</v>
      </c>
      <c r="D20" s="155">
        <v>55</v>
      </c>
      <c r="E20" s="155">
        <v>55</v>
      </c>
      <c r="F20" s="155">
        <v>55</v>
      </c>
      <c r="G20" s="155">
        <v>55</v>
      </c>
      <c r="H20" s="155">
        <v>55</v>
      </c>
      <c r="I20" s="155">
        <v>55</v>
      </c>
      <c r="J20" s="155">
        <v>55</v>
      </c>
      <c r="K20" s="155">
        <v>55</v>
      </c>
      <c r="L20" s="155">
        <v>55</v>
      </c>
      <c r="M20" s="155">
        <v>55</v>
      </c>
      <c r="N20" s="155">
        <f t="shared" si="1"/>
        <v>660</v>
      </c>
    </row>
    <row r="21" spans="1:14" x14ac:dyDescent="0.25">
      <c r="A21" s="154" t="s">
        <v>264</v>
      </c>
      <c r="B21" s="155">
        <v>150</v>
      </c>
      <c r="C21" s="155">
        <v>150</v>
      </c>
      <c r="D21" s="155">
        <v>150</v>
      </c>
      <c r="E21" s="155">
        <v>150</v>
      </c>
      <c r="F21" s="155">
        <v>150</v>
      </c>
      <c r="G21" s="155">
        <v>150</v>
      </c>
      <c r="H21" s="155">
        <v>150</v>
      </c>
      <c r="I21" s="155">
        <v>150</v>
      </c>
      <c r="J21" s="155">
        <v>150</v>
      </c>
      <c r="K21" s="155">
        <v>150</v>
      </c>
      <c r="L21" s="155">
        <v>150</v>
      </c>
      <c r="M21" s="155">
        <v>150</v>
      </c>
      <c r="N21" s="155">
        <f t="shared" si="1"/>
        <v>1800</v>
      </c>
    </row>
    <row r="22" spans="1:14" x14ac:dyDescent="0.25">
      <c r="A22" s="154" t="s">
        <v>330</v>
      </c>
      <c r="B22" s="155">
        <v>200</v>
      </c>
      <c r="C22" s="155">
        <v>200</v>
      </c>
      <c r="D22" s="155">
        <v>200</v>
      </c>
      <c r="E22" s="155">
        <v>200</v>
      </c>
      <c r="F22" s="155">
        <v>200</v>
      </c>
      <c r="G22" s="155">
        <v>200</v>
      </c>
      <c r="H22" s="155">
        <v>200</v>
      </c>
      <c r="I22" s="155">
        <v>200</v>
      </c>
      <c r="J22" s="155">
        <v>200</v>
      </c>
      <c r="K22" s="155">
        <v>200</v>
      </c>
      <c r="L22" s="155">
        <v>200</v>
      </c>
      <c r="M22" s="155">
        <v>200</v>
      </c>
      <c r="N22" s="155">
        <f t="shared" si="1"/>
        <v>2400</v>
      </c>
    </row>
    <row r="23" spans="1:14" x14ac:dyDescent="0.25">
      <c r="A23" s="154" t="s">
        <v>267</v>
      </c>
      <c r="B23" s="155">
        <v>20</v>
      </c>
      <c r="C23" s="155">
        <v>1000</v>
      </c>
      <c r="D23" s="155">
        <v>20</v>
      </c>
      <c r="E23" s="155">
        <v>20</v>
      </c>
      <c r="F23" s="155">
        <v>20</v>
      </c>
      <c r="G23" s="155">
        <v>20</v>
      </c>
      <c r="H23" s="155">
        <v>20</v>
      </c>
      <c r="I23" s="155">
        <v>20</v>
      </c>
      <c r="J23" s="155">
        <v>20</v>
      </c>
      <c r="K23" s="155">
        <v>20</v>
      </c>
      <c r="L23" s="155">
        <v>20</v>
      </c>
      <c r="M23" s="155">
        <v>20</v>
      </c>
      <c r="N23" s="155">
        <f t="shared" si="1"/>
        <v>1220</v>
      </c>
    </row>
    <row r="24" spans="1:14" x14ac:dyDescent="0.25">
      <c r="A24" s="217" t="s">
        <v>270</v>
      </c>
      <c r="B24" s="155">
        <v>65</v>
      </c>
      <c r="C24" s="155">
        <v>65</v>
      </c>
      <c r="D24" s="155">
        <v>65</v>
      </c>
      <c r="E24" s="155">
        <v>65</v>
      </c>
      <c r="F24" s="155">
        <v>65</v>
      </c>
      <c r="G24" s="155">
        <v>65</v>
      </c>
      <c r="H24" s="155">
        <v>65</v>
      </c>
      <c r="I24" s="155">
        <v>65</v>
      </c>
      <c r="J24" s="155">
        <v>65</v>
      </c>
      <c r="K24" s="155">
        <v>65</v>
      </c>
      <c r="L24" s="155">
        <v>65</v>
      </c>
      <c r="M24" s="155">
        <v>65</v>
      </c>
      <c r="N24" s="155">
        <f t="shared" si="1"/>
        <v>780</v>
      </c>
    </row>
    <row r="25" spans="1:14" x14ac:dyDescent="0.25">
      <c r="A25" s="154" t="s">
        <v>331</v>
      </c>
      <c r="B25" s="155">
        <v>0</v>
      </c>
      <c r="C25" s="155">
        <v>0</v>
      </c>
      <c r="D25" s="155">
        <v>2000</v>
      </c>
      <c r="E25" s="155">
        <v>0</v>
      </c>
      <c r="F25" s="155">
        <v>1500</v>
      </c>
      <c r="G25" s="155">
        <v>0</v>
      </c>
      <c r="H25" s="155">
        <v>0</v>
      </c>
      <c r="I25" s="155">
        <v>1500</v>
      </c>
      <c r="J25" s="155">
        <v>1500</v>
      </c>
      <c r="K25" s="155">
        <v>0</v>
      </c>
      <c r="L25" s="155">
        <v>0</v>
      </c>
      <c r="M25" s="155">
        <v>0</v>
      </c>
      <c r="N25" s="155">
        <f t="shared" si="1"/>
        <v>6500</v>
      </c>
    </row>
    <row r="26" spans="1:14" x14ac:dyDescent="0.25">
      <c r="A26" s="217" t="s">
        <v>220</v>
      </c>
      <c r="B26" s="218">
        <v>69.83</v>
      </c>
      <c r="C26" s="218">
        <v>69.83</v>
      </c>
      <c r="D26" s="218">
        <v>69.83</v>
      </c>
      <c r="E26" s="218">
        <v>69.83</v>
      </c>
      <c r="F26" s="218">
        <v>69.83</v>
      </c>
      <c r="G26" s="218">
        <v>69.83</v>
      </c>
      <c r="H26" s="218">
        <v>69.83</v>
      </c>
      <c r="I26" s="218">
        <v>69.83</v>
      </c>
      <c r="J26" s="218">
        <v>69.83</v>
      </c>
      <c r="K26" s="218">
        <v>69.83</v>
      </c>
      <c r="L26" s="218">
        <v>69.83</v>
      </c>
      <c r="M26" s="218">
        <v>69.83</v>
      </c>
      <c r="N26" s="155">
        <f t="shared" si="1"/>
        <v>837.96000000000015</v>
      </c>
    </row>
    <row r="27" spans="1:14" x14ac:dyDescent="0.25">
      <c r="A27" s="154" t="s">
        <v>275</v>
      </c>
      <c r="B27" s="218">
        <v>52</v>
      </c>
      <c r="C27" s="218">
        <v>52</v>
      </c>
      <c r="D27" s="218">
        <v>52</v>
      </c>
      <c r="E27" s="218">
        <v>52</v>
      </c>
      <c r="F27" s="218">
        <v>52</v>
      </c>
      <c r="G27" s="218">
        <v>52</v>
      </c>
      <c r="H27" s="218">
        <v>52</v>
      </c>
      <c r="I27" s="218">
        <v>52</v>
      </c>
      <c r="J27" s="218">
        <v>52</v>
      </c>
      <c r="K27" s="218">
        <v>52</v>
      </c>
      <c r="L27" s="218">
        <v>52</v>
      </c>
      <c r="M27" s="218">
        <v>52</v>
      </c>
      <c r="N27" s="155">
        <f t="shared" si="1"/>
        <v>624</v>
      </c>
    </row>
    <row r="28" spans="1:14" x14ac:dyDescent="0.25">
      <c r="A28" s="156" t="s">
        <v>196</v>
      </c>
      <c r="B28" s="157">
        <f t="shared" ref="B28:N28" si="2">SUM(B11:B27)</f>
        <v>865.16000000000008</v>
      </c>
      <c r="C28" s="157">
        <f t="shared" si="2"/>
        <v>4035.16</v>
      </c>
      <c r="D28" s="157">
        <f t="shared" si="2"/>
        <v>3955.16</v>
      </c>
      <c r="E28" s="157">
        <f t="shared" si="2"/>
        <v>1955.1599999999999</v>
      </c>
      <c r="F28" s="157">
        <f t="shared" si="2"/>
        <v>4005.16</v>
      </c>
      <c r="G28" s="157">
        <f t="shared" si="2"/>
        <v>1955.1599999999999</v>
      </c>
      <c r="H28" s="157">
        <f t="shared" si="2"/>
        <v>1955.1599999999999</v>
      </c>
      <c r="I28" s="157">
        <f t="shared" si="2"/>
        <v>3905.16</v>
      </c>
      <c r="J28" s="157">
        <f t="shared" si="2"/>
        <v>4255.16</v>
      </c>
      <c r="K28" s="157">
        <f t="shared" si="2"/>
        <v>1755.1599999999999</v>
      </c>
      <c r="L28" s="157">
        <f t="shared" si="2"/>
        <v>1755.1599999999999</v>
      </c>
      <c r="M28" s="157">
        <f t="shared" si="2"/>
        <v>865.2</v>
      </c>
      <c r="N28" s="157">
        <f t="shared" si="2"/>
        <v>31261.96</v>
      </c>
    </row>
    <row r="29" spans="1:14" x14ac:dyDescent="0.25">
      <c r="A29" s="153" t="s">
        <v>222</v>
      </c>
      <c r="B29" s="152"/>
      <c r="C29" s="152"/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</row>
    <row r="30" spans="1:14" x14ac:dyDescent="0.25">
      <c r="A30" s="154" t="s">
        <v>223</v>
      </c>
      <c r="B30" s="155">
        <v>13556.27</v>
      </c>
      <c r="C30" s="155">
        <v>14269.76</v>
      </c>
      <c r="D30" s="155">
        <v>14983.25</v>
      </c>
      <c r="E30" s="155">
        <v>15696.74</v>
      </c>
      <c r="F30" s="155">
        <v>16410.22</v>
      </c>
      <c r="G30" s="155">
        <v>14269.76</v>
      </c>
      <c r="H30" s="155">
        <v>16410.22</v>
      </c>
      <c r="I30" s="155">
        <v>15696.74</v>
      </c>
      <c r="J30" s="155">
        <v>14983.25</v>
      </c>
      <c r="K30" s="155">
        <v>16410.22</v>
      </c>
      <c r="L30" s="155">
        <v>14983.25</v>
      </c>
      <c r="M30" s="155">
        <v>16741.79</v>
      </c>
      <c r="N30" s="155">
        <f t="shared" ref="N30:N34" si="3">SUM(B30:M30)</f>
        <v>184411.47</v>
      </c>
    </row>
    <row r="31" spans="1:14" x14ac:dyDescent="0.25">
      <c r="A31" s="154" t="s">
        <v>224</v>
      </c>
      <c r="B31" s="155">
        <v>1997.95</v>
      </c>
      <c r="C31" s="155">
        <v>2103.1</v>
      </c>
      <c r="D31" s="155">
        <v>2208.2600000000002</v>
      </c>
      <c r="E31" s="155">
        <v>2313.41</v>
      </c>
      <c r="F31" s="155">
        <v>2418.5700000000002</v>
      </c>
      <c r="G31" s="155">
        <v>2103.1</v>
      </c>
      <c r="H31" s="155">
        <v>2418.5700000000002</v>
      </c>
      <c r="I31" s="155">
        <v>2313.41</v>
      </c>
      <c r="J31" s="155">
        <v>2208.2600000000002</v>
      </c>
      <c r="K31" s="155">
        <v>2418.5700000000002</v>
      </c>
      <c r="L31" s="155">
        <v>2208.2600000000002</v>
      </c>
      <c r="M31" s="155">
        <v>2313.41</v>
      </c>
      <c r="N31" s="155">
        <f t="shared" si="3"/>
        <v>27024.870000000006</v>
      </c>
    </row>
    <row r="32" spans="1:14" x14ac:dyDescent="0.25">
      <c r="A32" s="154" t="s">
        <v>225</v>
      </c>
      <c r="B32" s="155">
        <v>143.63999999999999</v>
      </c>
      <c r="C32" s="155">
        <v>151.19999999999999</v>
      </c>
      <c r="D32" s="155">
        <v>158.76</v>
      </c>
      <c r="E32" s="155">
        <v>166.32</v>
      </c>
      <c r="F32" s="155">
        <v>173.88</v>
      </c>
      <c r="G32" s="155">
        <v>151.19999999999999</v>
      </c>
      <c r="H32" s="155">
        <v>173.88</v>
      </c>
      <c r="I32" s="155">
        <v>166.32</v>
      </c>
      <c r="J32" s="155">
        <v>158.76</v>
      </c>
      <c r="K32" s="155">
        <v>173.88</v>
      </c>
      <c r="L32" s="155">
        <v>158.76</v>
      </c>
      <c r="M32" s="155">
        <v>166.32</v>
      </c>
      <c r="N32" s="155">
        <f t="shared" si="3"/>
        <v>1942.92</v>
      </c>
    </row>
    <row r="33" spans="1:14" x14ac:dyDescent="0.25">
      <c r="A33" s="154" t="s">
        <v>226</v>
      </c>
      <c r="B33" s="155">
        <v>1391.33</v>
      </c>
      <c r="C33" s="155">
        <v>1289.73</v>
      </c>
      <c r="D33" s="155">
        <v>1354.22</v>
      </c>
      <c r="E33" s="155">
        <v>1418.71</v>
      </c>
      <c r="F33" s="155">
        <v>1483.19</v>
      </c>
      <c r="G33" s="155">
        <v>1289.73</v>
      </c>
      <c r="H33" s="155">
        <v>1483.19</v>
      </c>
      <c r="I33" s="155">
        <v>1418.71</v>
      </c>
      <c r="J33" s="155">
        <v>1354.22</v>
      </c>
      <c r="K33" s="155">
        <v>1483.19</v>
      </c>
      <c r="L33" s="155">
        <v>1354.22</v>
      </c>
      <c r="M33" s="155">
        <v>1418.71</v>
      </c>
      <c r="N33" s="155">
        <f t="shared" si="3"/>
        <v>16739.150000000001</v>
      </c>
    </row>
    <row r="34" spans="1:14" x14ac:dyDescent="0.25">
      <c r="A34" s="154" t="s">
        <v>227</v>
      </c>
      <c r="B34" s="155">
        <v>436.95</v>
      </c>
      <c r="C34" s="155">
        <v>356.74</v>
      </c>
      <c r="D34" s="155">
        <v>374.58</v>
      </c>
      <c r="E34" s="155">
        <v>392.42</v>
      </c>
      <c r="F34" s="155">
        <v>410.26</v>
      </c>
      <c r="G34" s="155">
        <v>356.74</v>
      </c>
      <c r="H34" s="155">
        <v>410.26</v>
      </c>
      <c r="I34" s="155">
        <v>392.42</v>
      </c>
      <c r="J34" s="155">
        <v>374.58</v>
      </c>
      <c r="K34" s="155">
        <v>410.26</v>
      </c>
      <c r="L34" s="155">
        <v>374.58</v>
      </c>
      <c r="M34" s="155">
        <v>392.42</v>
      </c>
      <c r="N34" s="155">
        <f t="shared" si="3"/>
        <v>4682.21</v>
      </c>
    </row>
    <row r="35" spans="1:14" x14ac:dyDescent="0.25">
      <c r="A35" s="156" t="s">
        <v>228</v>
      </c>
      <c r="B35" s="157">
        <f t="shared" ref="B35:N35" si="4">SUM(B30:B34)</f>
        <v>17526.140000000003</v>
      </c>
      <c r="C35" s="157">
        <f t="shared" si="4"/>
        <v>18170.530000000002</v>
      </c>
      <c r="D35" s="157">
        <f t="shared" si="4"/>
        <v>19079.070000000003</v>
      </c>
      <c r="E35" s="157">
        <f t="shared" si="4"/>
        <v>19987.599999999999</v>
      </c>
      <c r="F35" s="157">
        <f t="shared" si="4"/>
        <v>20896.12</v>
      </c>
      <c r="G35" s="157">
        <f t="shared" si="4"/>
        <v>18170.530000000002</v>
      </c>
      <c r="H35" s="157">
        <f t="shared" si="4"/>
        <v>20896.12</v>
      </c>
      <c r="I35" s="157">
        <f t="shared" si="4"/>
        <v>19987.599999999999</v>
      </c>
      <c r="J35" s="157">
        <f t="shared" si="4"/>
        <v>19079.070000000003</v>
      </c>
      <c r="K35" s="157">
        <f t="shared" si="4"/>
        <v>20896.12</v>
      </c>
      <c r="L35" s="157">
        <f t="shared" si="4"/>
        <v>19079.070000000003</v>
      </c>
      <c r="M35" s="157">
        <f t="shared" si="4"/>
        <v>21032.649999999998</v>
      </c>
      <c r="N35" s="157">
        <f t="shared" si="4"/>
        <v>234800.62</v>
      </c>
    </row>
    <row r="36" spans="1:14" x14ac:dyDescent="0.25">
      <c r="A36" s="158" t="s">
        <v>197</v>
      </c>
      <c r="B36" s="157">
        <f t="shared" ref="B36:N36" si="5">SUM(B28,B35)</f>
        <v>18391.300000000003</v>
      </c>
      <c r="C36" s="157">
        <f t="shared" si="5"/>
        <v>22205.690000000002</v>
      </c>
      <c r="D36" s="157">
        <f t="shared" si="5"/>
        <v>23034.230000000003</v>
      </c>
      <c r="E36" s="157">
        <f t="shared" si="5"/>
        <v>21942.76</v>
      </c>
      <c r="F36" s="157">
        <f t="shared" si="5"/>
        <v>24901.279999999999</v>
      </c>
      <c r="G36" s="157">
        <f t="shared" si="5"/>
        <v>20125.690000000002</v>
      </c>
      <c r="H36" s="157">
        <f t="shared" si="5"/>
        <v>22851.279999999999</v>
      </c>
      <c r="I36" s="157">
        <f t="shared" si="5"/>
        <v>23892.76</v>
      </c>
      <c r="J36" s="157">
        <f t="shared" si="5"/>
        <v>23334.230000000003</v>
      </c>
      <c r="K36" s="157">
        <f t="shared" si="5"/>
        <v>22651.279999999999</v>
      </c>
      <c r="L36" s="157">
        <f t="shared" si="5"/>
        <v>20834.230000000003</v>
      </c>
      <c r="M36" s="157">
        <f t="shared" si="5"/>
        <v>21897.85</v>
      </c>
      <c r="N36" s="157">
        <f t="shared" si="5"/>
        <v>266062.58</v>
      </c>
    </row>
    <row r="37" spans="1:14" x14ac:dyDescent="0.25">
      <c r="A37" s="149" t="s">
        <v>198</v>
      </c>
      <c r="B37" s="150">
        <f t="shared" ref="B37:N37" si="6">B8-B36</f>
        <v>-18391.300000000003</v>
      </c>
      <c r="C37" s="150">
        <f t="shared" si="6"/>
        <v>-22205.690000000002</v>
      </c>
      <c r="D37" s="150">
        <f t="shared" si="6"/>
        <v>-23034.230000000003</v>
      </c>
      <c r="E37" s="150">
        <f t="shared" si="6"/>
        <v>-21942.76</v>
      </c>
      <c r="F37" s="150">
        <f t="shared" si="6"/>
        <v>-24901.279999999999</v>
      </c>
      <c r="G37" s="150">
        <f t="shared" si="6"/>
        <v>-20125.690000000002</v>
      </c>
      <c r="H37" s="150">
        <f t="shared" si="6"/>
        <v>-22851.279999999999</v>
      </c>
      <c r="I37" s="150">
        <f t="shared" si="6"/>
        <v>-23892.76</v>
      </c>
      <c r="J37" s="150">
        <f t="shared" si="6"/>
        <v>-23334.230000000003</v>
      </c>
      <c r="K37" s="150">
        <f t="shared" si="6"/>
        <v>-22651.279999999999</v>
      </c>
      <c r="L37" s="150">
        <f t="shared" si="6"/>
        <v>-20834.230000000003</v>
      </c>
      <c r="M37" s="150">
        <f t="shared" si="6"/>
        <v>-21897.85</v>
      </c>
      <c r="N37" s="150">
        <f t="shared" si="6"/>
        <v>-266062.58</v>
      </c>
    </row>
    <row r="38" spans="1:14" x14ac:dyDescent="0.25">
      <c r="A38" s="149" t="s">
        <v>31</v>
      </c>
      <c r="B38" s="150">
        <f t="shared" ref="B38:N38" si="7">B37+0+0</f>
        <v>-18391.300000000003</v>
      </c>
      <c r="C38" s="150">
        <f t="shared" si="7"/>
        <v>-22205.690000000002</v>
      </c>
      <c r="D38" s="150">
        <f t="shared" si="7"/>
        <v>-23034.230000000003</v>
      </c>
      <c r="E38" s="150">
        <f t="shared" si="7"/>
        <v>-21942.76</v>
      </c>
      <c r="F38" s="150">
        <f t="shared" si="7"/>
        <v>-24901.279999999999</v>
      </c>
      <c r="G38" s="150">
        <f t="shared" si="7"/>
        <v>-20125.690000000002</v>
      </c>
      <c r="H38" s="150">
        <f t="shared" si="7"/>
        <v>-22851.279999999999</v>
      </c>
      <c r="I38" s="150">
        <f t="shared" si="7"/>
        <v>-23892.76</v>
      </c>
      <c r="J38" s="150">
        <f t="shared" si="7"/>
        <v>-23334.230000000003</v>
      </c>
      <c r="K38" s="150">
        <f t="shared" si="7"/>
        <v>-22651.279999999999</v>
      </c>
      <c r="L38" s="150">
        <f t="shared" si="7"/>
        <v>-20834.230000000003</v>
      </c>
      <c r="M38" s="150">
        <f t="shared" si="7"/>
        <v>-21897.85</v>
      </c>
      <c r="N38" s="150">
        <f t="shared" si="7"/>
        <v>-266062.58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75C82-1465-5249-B693-E2DE40AC924A}">
  <sheetPr codeName="Sheet33"/>
  <dimension ref="A1:N42"/>
  <sheetViews>
    <sheetView topLeftCell="A7" workbookViewId="0">
      <selection activeCell="N20" sqref="N20"/>
    </sheetView>
  </sheetViews>
  <sheetFormatPr defaultColWidth="8.875" defaultRowHeight="15.75" x14ac:dyDescent="0.25"/>
  <cols>
    <col min="1" max="1" width="49" bestFit="1" customWidth="1"/>
    <col min="2" max="13" width="8.125" customWidth="1"/>
    <col min="14" max="14" width="8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400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188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18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26</v>
      </c>
      <c r="B11" s="155">
        <v>10</v>
      </c>
      <c r="C11" s="155">
        <v>10</v>
      </c>
      <c r="D11" s="155">
        <v>10</v>
      </c>
      <c r="E11" s="155">
        <v>10</v>
      </c>
      <c r="F11" s="155">
        <v>10</v>
      </c>
      <c r="G11" s="155">
        <v>10</v>
      </c>
      <c r="H11" s="155">
        <v>10</v>
      </c>
      <c r="I11" s="155">
        <v>10</v>
      </c>
      <c r="J11" s="155">
        <v>10</v>
      </c>
      <c r="K11" s="155">
        <v>10</v>
      </c>
      <c r="L11" s="155">
        <v>10</v>
      </c>
      <c r="M11" s="155">
        <v>10</v>
      </c>
      <c r="N11" s="220">
        <f t="shared" ref="N11:N29" si="1">SUM(B11:M11)</f>
        <v>120</v>
      </c>
    </row>
    <row r="12" spans="1:14" x14ac:dyDescent="0.25">
      <c r="A12" s="154" t="s">
        <v>212</v>
      </c>
      <c r="B12" s="155">
        <v>40</v>
      </c>
      <c r="C12" s="155">
        <v>40</v>
      </c>
      <c r="D12" s="155">
        <v>40</v>
      </c>
      <c r="E12" s="155">
        <v>40</v>
      </c>
      <c r="F12" s="155">
        <v>40</v>
      </c>
      <c r="G12" s="155">
        <v>40</v>
      </c>
      <c r="H12" s="155">
        <v>40</v>
      </c>
      <c r="I12" s="155">
        <v>40</v>
      </c>
      <c r="J12" s="155">
        <v>40</v>
      </c>
      <c r="K12" s="155">
        <v>40</v>
      </c>
      <c r="L12" s="155">
        <v>40</v>
      </c>
      <c r="M12" s="155">
        <v>40</v>
      </c>
      <c r="N12" s="220">
        <f t="shared" si="1"/>
        <v>480</v>
      </c>
    </row>
    <row r="13" spans="1:14" x14ac:dyDescent="0.25">
      <c r="A13" s="154" t="s">
        <v>213</v>
      </c>
      <c r="B13" s="155">
        <v>180</v>
      </c>
      <c r="C13" s="155">
        <v>180</v>
      </c>
      <c r="D13" s="155">
        <v>180</v>
      </c>
      <c r="E13" s="155">
        <v>180</v>
      </c>
      <c r="F13" s="155">
        <v>180</v>
      </c>
      <c r="G13" s="155">
        <v>180</v>
      </c>
      <c r="H13" s="155">
        <v>180</v>
      </c>
      <c r="I13" s="155">
        <v>180</v>
      </c>
      <c r="J13" s="155">
        <v>180</v>
      </c>
      <c r="K13" s="155">
        <v>180</v>
      </c>
      <c r="L13" s="155">
        <v>180</v>
      </c>
      <c r="M13" s="155">
        <v>180</v>
      </c>
      <c r="N13" s="220">
        <f t="shared" si="1"/>
        <v>2160</v>
      </c>
    </row>
    <row r="14" spans="1:14" x14ac:dyDescent="0.25">
      <c r="A14" s="154" t="s">
        <v>328</v>
      </c>
      <c r="B14" s="155">
        <v>1021.67</v>
      </c>
      <c r="C14" s="155">
        <v>1021.67</v>
      </c>
      <c r="D14" s="155">
        <v>1021.67</v>
      </c>
      <c r="E14" s="155">
        <v>1021.67</v>
      </c>
      <c r="F14" s="155">
        <v>1021.67</v>
      </c>
      <c r="G14" s="155">
        <v>1021.67</v>
      </c>
      <c r="H14" s="155">
        <v>1021.67</v>
      </c>
      <c r="I14" s="155">
        <v>1021.67</v>
      </c>
      <c r="J14" s="155">
        <v>1021.67</v>
      </c>
      <c r="K14" s="155">
        <v>1021.67</v>
      </c>
      <c r="L14" s="155">
        <v>1021.67</v>
      </c>
      <c r="M14" s="155">
        <v>1021.67</v>
      </c>
      <c r="N14" s="220">
        <f t="shared" si="1"/>
        <v>12260.039999999999</v>
      </c>
    </row>
    <row r="15" spans="1:14" x14ac:dyDescent="0.25">
      <c r="A15" s="154" t="s">
        <v>329</v>
      </c>
      <c r="B15" s="155">
        <v>0</v>
      </c>
      <c r="C15" s="155">
        <v>2500</v>
      </c>
      <c r="D15" s="155">
        <v>2500</v>
      </c>
      <c r="E15" s="155">
        <v>0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220">
        <f t="shared" si="1"/>
        <v>5000</v>
      </c>
    </row>
    <row r="16" spans="1:14" x14ac:dyDescent="0.25">
      <c r="A16" s="154" t="s">
        <v>214</v>
      </c>
      <c r="B16" s="155">
        <v>175</v>
      </c>
      <c r="C16" s="155">
        <v>175</v>
      </c>
      <c r="D16" s="155">
        <v>175</v>
      </c>
      <c r="E16" s="155">
        <v>175</v>
      </c>
      <c r="F16" s="155">
        <v>175</v>
      </c>
      <c r="G16" s="155">
        <v>175</v>
      </c>
      <c r="H16" s="155">
        <v>175</v>
      </c>
      <c r="I16" s="155">
        <v>175</v>
      </c>
      <c r="J16" s="155">
        <v>175</v>
      </c>
      <c r="K16" s="155">
        <v>175</v>
      </c>
      <c r="L16" s="155">
        <v>175</v>
      </c>
      <c r="M16" s="155">
        <v>175</v>
      </c>
      <c r="N16" s="220">
        <f t="shared" si="1"/>
        <v>2100</v>
      </c>
    </row>
    <row r="17" spans="1:14" x14ac:dyDescent="0.25">
      <c r="A17" s="154" t="s">
        <v>264</v>
      </c>
      <c r="B17" s="155">
        <v>100</v>
      </c>
      <c r="C17" s="155">
        <v>100</v>
      </c>
      <c r="D17" s="155">
        <v>100</v>
      </c>
      <c r="E17" s="155">
        <v>100</v>
      </c>
      <c r="F17" s="155">
        <v>100</v>
      </c>
      <c r="G17" s="155">
        <v>100</v>
      </c>
      <c r="H17" s="155">
        <v>100</v>
      </c>
      <c r="I17" s="155">
        <v>100</v>
      </c>
      <c r="J17" s="155">
        <v>100</v>
      </c>
      <c r="K17" s="155">
        <v>100</v>
      </c>
      <c r="L17" s="155">
        <v>100</v>
      </c>
      <c r="M17" s="155">
        <v>100</v>
      </c>
      <c r="N17" s="220">
        <f t="shared" si="1"/>
        <v>1200</v>
      </c>
    </row>
    <row r="18" spans="1:14" x14ac:dyDescent="0.25">
      <c r="A18" s="154" t="s">
        <v>330</v>
      </c>
      <c r="B18" s="155">
        <v>200</v>
      </c>
      <c r="C18" s="155">
        <v>200</v>
      </c>
      <c r="D18" s="155">
        <v>200</v>
      </c>
      <c r="E18" s="155">
        <v>200</v>
      </c>
      <c r="F18" s="155">
        <v>200</v>
      </c>
      <c r="G18" s="155">
        <v>200</v>
      </c>
      <c r="H18" s="155">
        <v>200</v>
      </c>
      <c r="I18" s="155">
        <v>200</v>
      </c>
      <c r="J18" s="155">
        <v>200</v>
      </c>
      <c r="K18" s="155">
        <v>200</v>
      </c>
      <c r="L18" s="155">
        <v>200</v>
      </c>
      <c r="M18" s="155">
        <v>200</v>
      </c>
      <c r="N18" s="220">
        <f t="shared" si="1"/>
        <v>2400</v>
      </c>
    </row>
    <row r="19" spans="1:14" x14ac:dyDescent="0.25">
      <c r="A19" s="154" t="s">
        <v>339</v>
      </c>
      <c r="B19" s="155">
        <v>50</v>
      </c>
      <c r="C19" s="155">
        <v>50</v>
      </c>
      <c r="D19" s="155">
        <v>50</v>
      </c>
      <c r="E19" s="155">
        <v>50</v>
      </c>
      <c r="F19" s="155">
        <v>50</v>
      </c>
      <c r="G19" s="155">
        <v>50</v>
      </c>
      <c r="H19" s="155">
        <v>1000</v>
      </c>
      <c r="I19" s="155">
        <v>50</v>
      </c>
      <c r="J19" s="155">
        <v>50</v>
      </c>
      <c r="K19" s="155">
        <v>50</v>
      </c>
      <c r="L19" s="155">
        <v>50</v>
      </c>
      <c r="M19" s="155">
        <v>50</v>
      </c>
      <c r="N19" s="220">
        <f t="shared" si="1"/>
        <v>1550</v>
      </c>
    </row>
    <row r="20" spans="1:14" x14ac:dyDescent="0.25">
      <c r="A20" s="154" t="s">
        <v>266</v>
      </c>
      <c r="B20" s="155">
        <v>210</v>
      </c>
      <c r="C20" s="155">
        <v>210</v>
      </c>
      <c r="D20" s="155">
        <v>210</v>
      </c>
      <c r="E20" s="155">
        <v>210</v>
      </c>
      <c r="F20" s="155">
        <v>210</v>
      </c>
      <c r="G20" s="155">
        <v>210</v>
      </c>
      <c r="H20" s="155">
        <v>210</v>
      </c>
      <c r="I20" s="155">
        <v>210</v>
      </c>
      <c r="J20" s="155">
        <v>210</v>
      </c>
      <c r="K20" s="155">
        <v>210</v>
      </c>
      <c r="L20" s="155">
        <v>210</v>
      </c>
      <c r="M20" s="155">
        <v>210</v>
      </c>
      <c r="N20" s="155">
        <f t="shared" si="1"/>
        <v>2520</v>
      </c>
    </row>
    <row r="21" spans="1:14" x14ac:dyDescent="0.25">
      <c r="A21" s="154" t="s">
        <v>359</v>
      </c>
      <c r="B21" s="155">
        <v>10</v>
      </c>
      <c r="C21" s="155">
        <v>10</v>
      </c>
      <c r="D21" s="155">
        <v>10</v>
      </c>
      <c r="E21" s="155">
        <v>10</v>
      </c>
      <c r="F21" s="155">
        <v>10</v>
      </c>
      <c r="G21" s="155">
        <v>10</v>
      </c>
      <c r="H21" s="155">
        <v>10</v>
      </c>
      <c r="I21" s="155">
        <v>10</v>
      </c>
      <c r="J21" s="155">
        <v>10</v>
      </c>
      <c r="K21" s="155">
        <v>10</v>
      </c>
      <c r="L21" s="155">
        <v>10</v>
      </c>
      <c r="M21" s="155">
        <v>10</v>
      </c>
      <c r="N21" s="220">
        <f t="shared" si="1"/>
        <v>120</v>
      </c>
    </row>
    <row r="22" spans="1:14" x14ac:dyDescent="0.25">
      <c r="A22" s="154" t="s">
        <v>267</v>
      </c>
      <c r="B22" s="155">
        <v>300</v>
      </c>
      <c r="C22" s="155">
        <v>300</v>
      </c>
      <c r="D22" s="155">
        <v>300</v>
      </c>
      <c r="E22" s="155">
        <v>300</v>
      </c>
      <c r="F22" s="155">
        <v>300</v>
      </c>
      <c r="G22" s="155">
        <v>300</v>
      </c>
      <c r="H22" s="155">
        <v>300</v>
      </c>
      <c r="I22" s="155">
        <v>300</v>
      </c>
      <c r="J22" s="155">
        <v>300</v>
      </c>
      <c r="K22" s="155">
        <v>300</v>
      </c>
      <c r="L22" s="155">
        <v>300</v>
      </c>
      <c r="M22" s="155">
        <v>300</v>
      </c>
      <c r="N22" s="220">
        <f t="shared" si="1"/>
        <v>3600</v>
      </c>
    </row>
    <row r="23" spans="1:14" x14ac:dyDescent="0.25">
      <c r="A23" s="154" t="s">
        <v>270</v>
      </c>
      <c r="B23" s="155">
        <v>112.05</v>
      </c>
      <c r="C23" s="155">
        <v>112.05</v>
      </c>
      <c r="D23" s="155">
        <v>112.05</v>
      </c>
      <c r="E23" s="155">
        <v>112.05</v>
      </c>
      <c r="F23" s="155">
        <v>112.05</v>
      </c>
      <c r="G23" s="155">
        <v>112.05</v>
      </c>
      <c r="H23" s="155">
        <v>112.05</v>
      </c>
      <c r="I23" s="155">
        <v>112.05</v>
      </c>
      <c r="J23" s="155">
        <v>112.05</v>
      </c>
      <c r="K23" s="155">
        <v>112.05</v>
      </c>
      <c r="L23" s="155">
        <v>112.05</v>
      </c>
      <c r="M23" s="155">
        <v>112.05</v>
      </c>
      <c r="N23" s="220">
        <f t="shared" si="1"/>
        <v>1344.5999999999997</v>
      </c>
    </row>
    <row r="24" spans="1:14" x14ac:dyDescent="0.25">
      <c r="A24" s="154" t="s">
        <v>342</v>
      </c>
      <c r="B24" s="155">
        <v>45</v>
      </c>
      <c r="C24" s="155">
        <v>45</v>
      </c>
      <c r="D24" s="155">
        <v>45</v>
      </c>
      <c r="E24" s="155">
        <v>45</v>
      </c>
      <c r="F24" s="155">
        <v>45</v>
      </c>
      <c r="G24" s="155">
        <v>45</v>
      </c>
      <c r="H24" s="155">
        <v>45</v>
      </c>
      <c r="I24" s="155">
        <v>45</v>
      </c>
      <c r="J24" s="155">
        <v>45</v>
      </c>
      <c r="K24" s="155">
        <v>45</v>
      </c>
      <c r="L24" s="155">
        <v>45</v>
      </c>
      <c r="M24" s="155">
        <v>45</v>
      </c>
      <c r="N24" s="220">
        <f t="shared" si="1"/>
        <v>540</v>
      </c>
    </row>
    <row r="25" spans="1:14" x14ac:dyDescent="0.25">
      <c r="A25" s="154" t="s">
        <v>401</v>
      </c>
      <c r="B25" s="155">
        <v>250</v>
      </c>
      <c r="C25" s="155">
        <v>250</v>
      </c>
      <c r="D25" s="155">
        <v>250</v>
      </c>
      <c r="E25" s="155">
        <v>250</v>
      </c>
      <c r="F25" s="155">
        <v>250</v>
      </c>
      <c r="G25" s="155">
        <v>250</v>
      </c>
      <c r="H25" s="155">
        <v>250</v>
      </c>
      <c r="I25" s="155">
        <v>250</v>
      </c>
      <c r="J25" s="155">
        <v>250</v>
      </c>
      <c r="K25" s="155">
        <v>250</v>
      </c>
      <c r="L25" s="155">
        <v>250</v>
      </c>
      <c r="M25" s="155">
        <v>250</v>
      </c>
      <c r="N25" s="220">
        <f t="shared" si="1"/>
        <v>3000</v>
      </c>
    </row>
    <row r="26" spans="1:14" x14ac:dyDescent="0.25">
      <c r="A26" s="154" t="s">
        <v>402</v>
      </c>
      <c r="B26" s="155">
        <v>2350</v>
      </c>
      <c r="C26" s="155">
        <v>2350</v>
      </c>
      <c r="D26" s="155">
        <v>2350</v>
      </c>
      <c r="E26" s="155">
        <v>2350</v>
      </c>
      <c r="F26" s="155">
        <v>2350</v>
      </c>
      <c r="G26" s="155">
        <v>2350</v>
      </c>
      <c r="H26" s="155">
        <v>2350</v>
      </c>
      <c r="I26" s="155">
        <v>2350</v>
      </c>
      <c r="J26" s="155">
        <v>2350</v>
      </c>
      <c r="K26" s="155">
        <v>2350</v>
      </c>
      <c r="L26" s="155">
        <v>2350</v>
      </c>
      <c r="M26" s="155">
        <v>2350</v>
      </c>
      <c r="N26" s="155">
        <f t="shared" si="1"/>
        <v>28200</v>
      </c>
    </row>
    <row r="27" spans="1:14" x14ac:dyDescent="0.25">
      <c r="A27" s="154" t="s">
        <v>274</v>
      </c>
      <c r="B27" s="155">
        <v>20.14</v>
      </c>
      <c r="C27" s="155">
        <v>20.14</v>
      </c>
      <c r="D27" s="155">
        <v>20.14</v>
      </c>
      <c r="E27" s="155">
        <v>20.14</v>
      </c>
      <c r="F27" s="155">
        <v>20.14</v>
      </c>
      <c r="G27" s="155">
        <v>20.14</v>
      </c>
      <c r="H27" s="155">
        <v>20.14</v>
      </c>
      <c r="I27" s="155">
        <v>20.14</v>
      </c>
      <c r="J27" s="155">
        <v>20.14</v>
      </c>
      <c r="K27" s="155">
        <v>20.14</v>
      </c>
      <c r="L27" s="155">
        <v>20.14</v>
      </c>
      <c r="M27" s="155">
        <v>20.14</v>
      </c>
      <c r="N27" s="220">
        <f t="shared" si="1"/>
        <v>241.67999999999995</v>
      </c>
    </row>
    <row r="28" spans="1:14" x14ac:dyDescent="0.25">
      <c r="A28" s="154" t="s">
        <v>275</v>
      </c>
      <c r="B28" s="155">
        <v>127.39</v>
      </c>
      <c r="C28" s="155">
        <v>127.39</v>
      </c>
      <c r="D28" s="155">
        <v>127.39</v>
      </c>
      <c r="E28" s="155">
        <v>127.39</v>
      </c>
      <c r="F28" s="155">
        <v>127.39</v>
      </c>
      <c r="G28" s="155">
        <v>127.39</v>
      </c>
      <c r="H28" s="155">
        <v>127.39</v>
      </c>
      <c r="I28" s="155">
        <v>127.39</v>
      </c>
      <c r="J28" s="155">
        <v>127.39</v>
      </c>
      <c r="K28" s="155">
        <v>127.39</v>
      </c>
      <c r="L28" s="155">
        <v>127.39</v>
      </c>
      <c r="M28" s="155">
        <v>127.39</v>
      </c>
      <c r="N28" s="220">
        <f t="shared" si="1"/>
        <v>1528.6800000000003</v>
      </c>
    </row>
    <row r="29" spans="1:14" x14ac:dyDescent="0.25">
      <c r="A29" s="154" t="s">
        <v>375</v>
      </c>
      <c r="B29" s="155">
        <v>0</v>
      </c>
      <c r="C29" s="155">
        <v>0</v>
      </c>
      <c r="D29" s="155">
        <v>0</v>
      </c>
      <c r="E29" s="155">
        <v>0</v>
      </c>
      <c r="F29" s="155">
        <v>0</v>
      </c>
      <c r="G29" s="155">
        <v>0</v>
      </c>
      <c r="H29" s="155">
        <v>0</v>
      </c>
      <c r="I29" s="155">
        <v>0</v>
      </c>
      <c r="J29" s="155">
        <v>0</v>
      </c>
      <c r="K29" s="155">
        <v>0</v>
      </c>
      <c r="L29" s="155">
        <v>0</v>
      </c>
      <c r="M29" s="155">
        <v>0</v>
      </c>
      <c r="N29" s="155">
        <f t="shared" si="1"/>
        <v>0</v>
      </c>
    </row>
    <row r="30" spans="1:14" x14ac:dyDescent="0.25">
      <c r="A30" s="156" t="s">
        <v>196</v>
      </c>
      <c r="B30" s="157">
        <f t="shared" ref="B30:N30" si="2">SUM(B11:B29)</f>
        <v>5201.2500000000009</v>
      </c>
      <c r="C30" s="157">
        <f t="shared" si="2"/>
        <v>7701.2500000000009</v>
      </c>
      <c r="D30" s="157">
        <f t="shared" si="2"/>
        <v>7701.2500000000009</v>
      </c>
      <c r="E30" s="157">
        <f t="shared" si="2"/>
        <v>5201.2500000000009</v>
      </c>
      <c r="F30" s="157">
        <f t="shared" si="2"/>
        <v>5201.2500000000009</v>
      </c>
      <c r="G30" s="157">
        <f t="shared" si="2"/>
        <v>5201.2500000000009</v>
      </c>
      <c r="H30" s="157">
        <f t="shared" si="2"/>
        <v>6151.2500000000009</v>
      </c>
      <c r="I30" s="157">
        <f t="shared" si="2"/>
        <v>5201.2500000000009</v>
      </c>
      <c r="J30" s="157">
        <f t="shared" si="2"/>
        <v>5201.2500000000009</v>
      </c>
      <c r="K30" s="157">
        <f t="shared" si="2"/>
        <v>5201.2500000000009</v>
      </c>
      <c r="L30" s="157">
        <f t="shared" si="2"/>
        <v>5201.2500000000009</v>
      </c>
      <c r="M30" s="157">
        <f t="shared" si="2"/>
        <v>5201.2500000000009</v>
      </c>
      <c r="N30" s="157">
        <f t="shared" si="2"/>
        <v>68365</v>
      </c>
    </row>
    <row r="31" spans="1:14" x14ac:dyDescent="0.25">
      <c r="A31" s="153" t="s">
        <v>222</v>
      </c>
      <c r="B31" s="152"/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</row>
    <row r="32" spans="1:14" x14ac:dyDescent="0.25">
      <c r="A32" s="154" t="s">
        <v>223</v>
      </c>
      <c r="B32" s="155">
        <v>31813.65</v>
      </c>
      <c r="C32" s="155">
        <v>33488.050000000003</v>
      </c>
      <c r="D32" s="155">
        <v>35162.449999999997</v>
      </c>
      <c r="E32" s="155">
        <v>36836.85</v>
      </c>
      <c r="F32" s="155">
        <v>38511.26</v>
      </c>
      <c r="G32" s="155">
        <v>33488.050000000003</v>
      </c>
      <c r="H32" s="155">
        <v>38511.26</v>
      </c>
      <c r="I32" s="155">
        <v>36836.85</v>
      </c>
      <c r="J32" s="155">
        <v>35162.449999999997</v>
      </c>
      <c r="K32" s="155">
        <v>38511.26</v>
      </c>
      <c r="L32" s="155">
        <v>35162.449999999997</v>
      </c>
      <c r="M32" s="155">
        <v>56829.88</v>
      </c>
      <c r="N32" s="220">
        <f t="shared" ref="N32:N38" si="3">SUM(B32:M32)</f>
        <v>450314.46</v>
      </c>
    </row>
    <row r="33" spans="1:14" x14ac:dyDescent="0.25">
      <c r="A33" s="154" t="s">
        <v>224</v>
      </c>
      <c r="B33" s="155">
        <v>6573.98</v>
      </c>
      <c r="C33" s="155">
        <v>6919.98</v>
      </c>
      <c r="D33" s="155">
        <v>7265.98</v>
      </c>
      <c r="E33" s="155">
        <v>7611.98</v>
      </c>
      <c r="F33" s="155">
        <v>7957.98</v>
      </c>
      <c r="G33" s="155">
        <v>6919.98</v>
      </c>
      <c r="H33" s="155">
        <v>7957.98</v>
      </c>
      <c r="I33" s="155">
        <v>7611.98</v>
      </c>
      <c r="J33" s="155">
        <v>7265.98</v>
      </c>
      <c r="K33" s="155">
        <v>7957.98</v>
      </c>
      <c r="L33" s="155">
        <v>7265.98</v>
      </c>
      <c r="M33" s="155">
        <v>10910.83</v>
      </c>
      <c r="N33" s="220">
        <f t="shared" si="3"/>
        <v>92220.609999999971</v>
      </c>
    </row>
    <row r="34" spans="1:14" x14ac:dyDescent="0.25">
      <c r="A34" s="154" t="s">
        <v>225</v>
      </c>
      <c r="B34" s="155">
        <v>342.82</v>
      </c>
      <c r="C34" s="155">
        <v>360.86</v>
      </c>
      <c r="D34" s="155">
        <v>378.9</v>
      </c>
      <c r="E34" s="155">
        <v>396.95</v>
      </c>
      <c r="F34" s="155">
        <v>414.99</v>
      </c>
      <c r="G34" s="155">
        <v>360.86</v>
      </c>
      <c r="H34" s="155">
        <v>414.99</v>
      </c>
      <c r="I34" s="155">
        <v>396.95</v>
      </c>
      <c r="J34" s="155">
        <v>378.9</v>
      </c>
      <c r="K34" s="155">
        <v>414.99</v>
      </c>
      <c r="L34" s="155">
        <v>378.9</v>
      </c>
      <c r="M34" s="155">
        <v>396.95</v>
      </c>
      <c r="N34" s="220">
        <f t="shared" si="3"/>
        <v>4637.0599999999995</v>
      </c>
    </row>
    <row r="35" spans="1:14" x14ac:dyDescent="0.25">
      <c r="A35" s="154" t="s">
        <v>226</v>
      </c>
      <c r="B35" s="155">
        <v>2805.51</v>
      </c>
      <c r="C35" s="155">
        <v>813.04</v>
      </c>
      <c r="D35" s="155">
        <v>853.7</v>
      </c>
      <c r="E35" s="155">
        <v>894.35</v>
      </c>
      <c r="F35" s="155">
        <v>935</v>
      </c>
      <c r="G35" s="155">
        <v>813.04</v>
      </c>
      <c r="H35" s="155">
        <v>935</v>
      </c>
      <c r="I35" s="155">
        <v>894.35</v>
      </c>
      <c r="J35" s="155">
        <v>853.7</v>
      </c>
      <c r="K35" s="155">
        <v>935</v>
      </c>
      <c r="L35" s="155">
        <v>853.7</v>
      </c>
      <c r="M35" s="155">
        <v>894.35</v>
      </c>
      <c r="N35" s="220">
        <f t="shared" si="3"/>
        <v>12480.740000000002</v>
      </c>
    </row>
    <row r="36" spans="1:14" x14ac:dyDescent="0.25">
      <c r="A36" s="154" t="s">
        <v>227</v>
      </c>
      <c r="B36" s="155">
        <v>3915.65</v>
      </c>
      <c r="C36" s="155">
        <v>2886.05</v>
      </c>
      <c r="D36" s="155">
        <v>3030.35</v>
      </c>
      <c r="E36" s="155">
        <v>3174.66</v>
      </c>
      <c r="F36" s="155">
        <v>3318.96</v>
      </c>
      <c r="G36" s="155">
        <v>2886.05</v>
      </c>
      <c r="H36" s="155">
        <v>3318.96</v>
      </c>
      <c r="I36" s="155">
        <v>3174.66</v>
      </c>
      <c r="J36" s="155">
        <v>3030.35</v>
      </c>
      <c r="K36" s="155">
        <v>3318.96</v>
      </c>
      <c r="L36" s="155">
        <v>3030.35</v>
      </c>
      <c r="M36" s="155">
        <v>3174.66</v>
      </c>
      <c r="N36" s="220">
        <f t="shared" si="3"/>
        <v>38259.660000000003</v>
      </c>
    </row>
    <row r="37" spans="1:14" x14ac:dyDescent="0.25">
      <c r="A37" s="154" t="s">
        <v>403</v>
      </c>
      <c r="B37" s="155">
        <v>1879.74</v>
      </c>
      <c r="C37" s="155">
        <v>798.29</v>
      </c>
      <c r="D37" s="155">
        <v>838.21</v>
      </c>
      <c r="E37" s="155">
        <v>878.12</v>
      </c>
      <c r="F37" s="155">
        <v>918.03</v>
      </c>
      <c r="G37" s="155">
        <v>798.29</v>
      </c>
      <c r="H37" s="155">
        <v>918.03</v>
      </c>
      <c r="I37" s="155">
        <v>878.12</v>
      </c>
      <c r="J37" s="155">
        <v>838.21</v>
      </c>
      <c r="K37" s="155">
        <v>918.03</v>
      </c>
      <c r="L37" s="155">
        <v>838.21</v>
      </c>
      <c r="M37" s="155">
        <v>878.19</v>
      </c>
      <c r="N37" s="220">
        <f t="shared" si="3"/>
        <v>11379.47</v>
      </c>
    </row>
    <row r="38" spans="1:14" x14ac:dyDescent="0.25">
      <c r="A38" s="154" t="s">
        <v>239</v>
      </c>
      <c r="B38" s="155">
        <v>444.57</v>
      </c>
      <c r="C38" s="155">
        <v>444.57</v>
      </c>
      <c r="D38" s="155">
        <v>444.57</v>
      </c>
      <c r="E38" s="155">
        <v>444.57</v>
      </c>
      <c r="F38" s="155">
        <v>444.57</v>
      </c>
      <c r="G38" s="155">
        <v>444.57</v>
      </c>
      <c r="H38" s="155">
        <v>444.57</v>
      </c>
      <c r="I38" s="155">
        <v>444.57</v>
      </c>
      <c r="J38" s="155">
        <v>444.57</v>
      </c>
      <c r="K38" s="155">
        <v>444.57</v>
      </c>
      <c r="L38" s="155">
        <v>444.57</v>
      </c>
      <c r="M38" s="155">
        <v>444.64</v>
      </c>
      <c r="N38" s="220">
        <f t="shared" si="3"/>
        <v>5334.9100000000008</v>
      </c>
    </row>
    <row r="39" spans="1:14" x14ac:dyDescent="0.25">
      <c r="A39" s="156" t="s">
        <v>228</v>
      </c>
      <c r="B39" s="157">
        <f t="shared" ref="B39:N39" si="4">SUM(B32:B38)</f>
        <v>47775.920000000006</v>
      </c>
      <c r="C39" s="157">
        <f t="shared" si="4"/>
        <v>45710.840000000004</v>
      </c>
      <c r="D39" s="157">
        <f t="shared" si="4"/>
        <v>47974.159999999989</v>
      </c>
      <c r="E39" s="157">
        <f t="shared" si="4"/>
        <v>50237.479999999996</v>
      </c>
      <c r="F39" s="157">
        <f t="shared" si="4"/>
        <v>52500.79</v>
      </c>
      <c r="G39" s="157">
        <f t="shared" si="4"/>
        <v>45710.840000000004</v>
      </c>
      <c r="H39" s="157">
        <f t="shared" si="4"/>
        <v>52500.79</v>
      </c>
      <c r="I39" s="157">
        <f t="shared" si="4"/>
        <v>50237.479999999996</v>
      </c>
      <c r="J39" s="157">
        <f t="shared" si="4"/>
        <v>47974.159999999989</v>
      </c>
      <c r="K39" s="157">
        <f t="shared" si="4"/>
        <v>52500.79</v>
      </c>
      <c r="L39" s="157">
        <f t="shared" si="4"/>
        <v>47974.159999999989</v>
      </c>
      <c r="M39" s="157">
        <f t="shared" si="4"/>
        <v>73529.5</v>
      </c>
      <c r="N39" s="157">
        <f t="shared" si="4"/>
        <v>614626.91</v>
      </c>
    </row>
    <row r="40" spans="1:14" x14ac:dyDescent="0.25">
      <c r="A40" s="158" t="s">
        <v>197</v>
      </c>
      <c r="B40" s="157">
        <f t="shared" ref="B40:N40" si="5">SUM(B30,B39)</f>
        <v>52977.170000000006</v>
      </c>
      <c r="C40" s="157">
        <f t="shared" si="5"/>
        <v>53412.090000000004</v>
      </c>
      <c r="D40" s="157">
        <f t="shared" si="5"/>
        <v>55675.409999999989</v>
      </c>
      <c r="E40" s="157">
        <f t="shared" si="5"/>
        <v>55438.729999999996</v>
      </c>
      <c r="F40" s="157">
        <f t="shared" si="5"/>
        <v>57702.04</v>
      </c>
      <c r="G40" s="157">
        <f t="shared" si="5"/>
        <v>50912.090000000004</v>
      </c>
      <c r="H40" s="157">
        <f t="shared" si="5"/>
        <v>58652.04</v>
      </c>
      <c r="I40" s="157">
        <f t="shared" si="5"/>
        <v>55438.729999999996</v>
      </c>
      <c r="J40" s="157">
        <f t="shared" si="5"/>
        <v>53175.409999999989</v>
      </c>
      <c r="K40" s="157">
        <f t="shared" si="5"/>
        <v>57702.04</v>
      </c>
      <c r="L40" s="157">
        <f t="shared" si="5"/>
        <v>53175.409999999989</v>
      </c>
      <c r="M40" s="157">
        <f t="shared" si="5"/>
        <v>78730.75</v>
      </c>
      <c r="N40" s="157">
        <f t="shared" si="5"/>
        <v>682991.91</v>
      </c>
    </row>
    <row r="41" spans="1:14" x14ac:dyDescent="0.25">
      <c r="A41" s="149" t="s">
        <v>198</v>
      </c>
      <c r="B41" s="150">
        <f t="shared" ref="B41:N41" si="6">B8-B40</f>
        <v>-52977.170000000006</v>
      </c>
      <c r="C41" s="150">
        <f t="shared" si="6"/>
        <v>-53412.090000000004</v>
      </c>
      <c r="D41" s="150">
        <f t="shared" si="6"/>
        <v>-55675.409999999989</v>
      </c>
      <c r="E41" s="150">
        <f t="shared" si="6"/>
        <v>-55438.729999999996</v>
      </c>
      <c r="F41" s="150">
        <f t="shared" si="6"/>
        <v>-57702.04</v>
      </c>
      <c r="G41" s="150">
        <f t="shared" si="6"/>
        <v>-50912.090000000004</v>
      </c>
      <c r="H41" s="150">
        <f t="shared" si="6"/>
        <v>-58652.04</v>
      </c>
      <c r="I41" s="150">
        <f t="shared" si="6"/>
        <v>-55438.729999999996</v>
      </c>
      <c r="J41" s="150">
        <f t="shared" si="6"/>
        <v>-53175.409999999989</v>
      </c>
      <c r="K41" s="150">
        <f t="shared" si="6"/>
        <v>-57702.04</v>
      </c>
      <c r="L41" s="150">
        <f t="shared" si="6"/>
        <v>-53175.409999999989</v>
      </c>
      <c r="M41" s="150">
        <f t="shared" si="6"/>
        <v>-78730.75</v>
      </c>
      <c r="N41" s="150">
        <f t="shared" si="6"/>
        <v>-682991.91</v>
      </c>
    </row>
    <row r="42" spans="1:14" x14ac:dyDescent="0.25">
      <c r="A42" s="149" t="s">
        <v>31</v>
      </c>
      <c r="B42" s="150">
        <f t="shared" ref="B42:N42" si="7">B41+0+0</f>
        <v>-52977.170000000006</v>
      </c>
      <c r="C42" s="150">
        <f t="shared" si="7"/>
        <v>-53412.090000000004</v>
      </c>
      <c r="D42" s="150">
        <f t="shared" si="7"/>
        <v>-55675.409999999989</v>
      </c>
      <c r="E42" s="150">
        <f t="shared" si="7"/>
        <v>-55438.729999999996</v>
      </c>
      <c r="F42" s="150">
        <f t="shared" si="7"/>
        <v>-57702.04</v>
      </c>
      <c r="G42" s="150">
        <f t="shared" si="7"/>
        <v>-50912.090000000004</v>
      </c>
      <c r="H42" s="150">
        <f t="shared" si="7"/>
        <v>-58652.04</v>
      </c>
      <c r="I42" s="150">
        <f t="shared" si="7"/>
        <v>-55438.729999999996</v>
      </c>
      <c r="J42" s="150">
        <f t="shared" si="7"/>
        <v>-53175.409999999989</v>
      </c>
      <c r="K42" s="150">
        <f t="shared" si="7"/>
        <v>-57702.04</v>
      </c>
      <c r="L42" s="150">
        <f t="shared" si="7"/>
        <v>-53175.409999999989</v>
      </c>
      <c r="M42" s="150">
        <f t="shared" si="7"/>
        <v>-78730.75</v>
      </c>
      <c r="N42" s="150">
        <f t="shared" si="7"/>
        <v>-682991.91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B29D1-C9F6-3643-BC28-EDAD93160F6F}">
  <sheetPr codeName="Sheet34"/>
  <dimension ref="A1:O38"/>
  <sheetViews>
    <sheetView topLeftCell="A11" workbookViewId="0">
      <selection activeCell="M44" sqref="M44"/>
    </sheetView>
  </sheetViews>
  <sheetFormatPr defaultColWidth="7" defaultRowHeight="11.25" x14ac:dyDescent="0.2"/>
  <cols>
    <col min="1" max="1" width="49" style="192" bestFit="1" customWidth="1"/>
    <col min="2" max="13" width="8.125" style="192" customWidth="1"/>
    <col min="14" max="14" width="8.875" style="192" bestFit="1" customWidth="1"/>
    <col min="15" max="15" width="8.375" style="192" bestFit="1" customWidth="1"/>
    <col min="16" max="16384" width="7" style="192"/>
  </cols>
  <sheetData>
    <row r="1" spans="1:14" ht="15.75" x14ac:dyDescent="0.25">
      <c r="A1" s="368" t="s">
        <v>182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</row>
    <row r="2" spans="1:14" ht="18" x14ac:dyDescent="0.25">
      <c r="A2" s="369" t="s">
        <v>183</v>
      </c>
      <c r="B2" s="369"/>
      <c r="C2" s="369"/>
      <c r="D2" s="369"/>
      <c r="E2" s="369"/>
      <c r="F2" s="369"/>
      <c r="G2" s="369"/>
      <c r="H2" s="369"/>
      <c r="I2" s="369"/>
      <c r="J2" s="369"/>
      <c r="K2" s="369"/>
      <c r="L2" s="369"/>
      <c r="M2" s="369"/>
      <c r="N2" s="369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9" t="s">
        <v>404</v>
      </c>
      <c r="B4" s="369"/>
      <c r="C4" s="369"/>
      <c r="D4" s="369"/>
      <c r="E4" s="369"/>
      <c r="F4" s="369"/>
      <c r="G4" s="369"/>
      <c r="H4" s="369"/>
      <c r="I4" s="369"/>
      <c r="J4" s="369"/>
      <c r="K4" s="369"/>
      <c r="L4" s="369"/>
      <c r="M4" s="369"/>
      <c r="N4" s="369"/>
    </row>
    <row r="5" spans="1:14" ht="18" x14ac:dyDescent="0.25">
      <c r="A5" s="369" t="s">
        <v>186</v>
      </c>
      <c r="B5" s="369"/>
      <c r="C5" s="369"/>
      <c r="D5" s="369"/>
      <c r="E5" s="369"/>
      <c r="F5" s="369"/>
      <c r="G5" s="369"/>
      <c r="H5" s="369"/>
      <c r="I5" s="369"/>
      <c r="J5" s="369"/>
      <c r="K5" s="369"/>
      <c r="L5" s="369"/>
      <c r="M5" s="369"/>
      <c r="N5" s="369"/>
    </row>
    <row r="6" spans="1:14" x14ac:dyDescent="0.2">
      <c r="A6" s="193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188</v>
      </c>
    </row>
    <row r="7" spans="1:14" x14ac:dyDescent="0.2">
      <c r="A7" s="193" t="s">
        <v>190</v>
      </c>
      <c r="B7" s="194" t="s">
        <v>191</v>
      </c>
      <c r="C7" s="194" t="s">
        <v>191</v>
      </c>
      <c r="D7" s="194" t="s">
        <v>191</v>
      </c>
      <c r="E7" s="194" t="s">
        <v>191</v>
      </c>
      <c r="F7" s="194" t="s">
        <v>191</v>
      </c>
      <c r="G7" s="194" t="s">
        <v>191</v>
      </c>
      <c r="H7" s="194" t="s">
        <v>191</v>
      </c>
      <c r="I7" s="194" t="s">
        <v>191</v>
      </c>
      <c r="J7" s="194" t="s">
        <v>191</v>
      </c>
      <c r="K7" s="194" t="s">
        <v>191</v>
      </c>
      <c r="L7" s="194" t="s">
        <v>191</v>
      </c>
      <c r="M7" s="194" t="s">
        <v>191</v>
      </c>
      <c r="N7" s="172" t="s">
        <v>18</v>
      </c>
    </row>
    <row r="8" spans="1:14" x14ac:dyDescent="0.2">
      <c r="A8" s="195" t="s">
        <v>193</v>
      </c>
      <c r="B8" s="196">
        <f t="shared" ref="B8:N8" si="0">0-0</f>
        <v>0</v>
      </c>
      <c r="C8" s="196">
        <f t="shared" si="0"/>
        <v>0</v>
      </c>
      <c r="D8" s="196">
        <f t="shared" si="0"/>
        <v>0</v>
      </c>
      <c r="E8" s="196">
        <f t="shared" si="0"/>
        <v>0</v>
      </c>
      <c r="F8" s="196">
        <f t="shared" si="0"/>
        <v>0</v>
      </c>
      <c r="G8" s="196">
        <f t="shared" si="0"/>
        <v>0</v>
      </c>
      <c r="H8" s="196">
        <f t="shared" si="0"/>
        <v>0</v>
      </c>
      <c r="I8" s="196">
        <f t="shared" si="0"/>
        <v>0</v>
      </c>
      <c r="J8" s="196">
        <f t="shared" si="0"/>
        <v>0</v>
      </c>
      <c r="K8" s="196">
        <f t="shared" si="0"/>
        <v>0</v>
      </c>
      <c r="L8" s="196">
        <f t="shared" si="0"/>
        <v>0</v>
      </c>
      <c r="M8" s="196">
        <f t="shared" si="0"/>
        <v>0</v>
      </c>
      <c r="N8" s="196">
        <f t="shared" si="0"/>
        <v>0</v>
      </c>
    </row>
    <row r="9" spans="1:14" x14ac:dyDescent="0.2">
      <c r="A9" s="197" t="s">
        <v>194</v>
      </c>
      <c r="B9" s="198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</row>
    <row r="10" spans="1:14" x14ac:dyDescent="0.2">
      <c r="A10" s="199" t="s">
        <v>195</v>
      </c>
      <c r="B10" s="198"/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8"/>
    </row>
    <row r="11" spans="1:14" x14ac:dyDescent="0.2">
      <c r="A11" s="200" t="s">
        <v>405</v>
      </c>
      <c r="B11" s="201">
        <f>30000/12</f>
        <v>2500</v>
      </c>
      <c r="C11" s="201">
        <f t="shared" ref="C11:M11" si="1">30000/12</f>
        <v>2500</v>
      </c>
      <c r="D11" s="201">
        <f t="shared" si="1"/>
        <v>2500</v>
      </c>
      <c r="E11" s="201">
        <f t="shared" si="1"/>
        <v>2500</v>
      </c>
      <c r="F11" s="201">
        <f t="shared" si="1"/>
        <v>2500</v>
      </c>
      <c r="G11" s="201">
        <f t="shared" si="1"/>
        <v>2500</v>
      </c>
      <c r="H11" s="201">
        <f t="shared" si="1"/>
        <v>2500</v>
      </c>
      <c r="I11" s="201">
        <f t="shared" si="1"/>
        <v>2500</v>
      </c>
      <c r="J11" s="201">
        <f t="shared" si="1"/>
        <v>2500</v>
      </c>
      <c r="K11" s="201">
        <f t="shared" si="1"/>
        <v>2500</v>
      </c>
      <c r="L11" s="201">
        <f t="shared" si="1"/>
        <v>2500</v>
      </c>
      <c r="M11" s="201">
        <f t="shared" si="1"/>
        <v>2500</v>
      </c>
      <c r="N11" s="201">
        <f t="shared" ref="N11:N26" si="2">SUM(B11:M11)</f>
        <v>30000</v>
      </c>
    </row>
    <row r="12" spans="1:14" x14ac:dyDescent="0.2">
      <c r="A12" s="200" t="s">
        <v>26</v>
      </c>
      <c r="B12" s="201">
        <v>200</v>
      </c>
      <c r="C12" s="201">
        <v>200</v>
      </c>
      <c r="D12" s="201">
        <v>200</v>
      </c>
      <c r="E12" s="201">
        <v>200</v>
      </c>
      <c r="F12" s="201">
        <v>200</v>
      </c>
      <c r="G12" s="201">
        <v>200</v>
      </c>
      <c r="H12" s="201">
        <v>200</v>
      </c>
      <c r="I12" s="201">
        <v>200</v>
      </c>
      <c r="J12" s="201">
        <v>200</v>
      </c>
      <c r="K12" s="201">
        <v>200</v>
      </c>
      <c r="L12" s="201">
        <v>200</v>
      </c>
      <c r="M12" s="201">
        <v>200</v>
      </c>
      <c r="N12" s="201">
        <f t="shared" si="2"/>
        <v>2400</v>
      </c>
    </row>
    <row r="13" spans="1:14" x14ac:dyDescent="0.2">
      <c r="A13" s="200" t="s">
        <v>212</v>
      </c>
      <c r="B13" s="201">
        <v>35</v>
      </c>
      <c r="C13" s="201">
        <v>35</v>
      </c>
      <c r="D13" s="201">
        <v>35</v>
      </c>
      <c r="E13" s="201">
        <v>35</v>
      </c>
      <c r="F13" s="201">
        <v>35</v>
      </c>
      <c r="G13" s="201">
        <v>35</v>
      </c>
      <c r="H13" s="201">
        <v>35</v>
      </c>
      <c r="I13" s="201">
        <v>35</v>
      </c>
      <c r="J13" s="201">
        <v>35</v>
      </c>
      <c r="K13" s="201">
        <v>35</v>
      </c>
      <c r="L13" s="201">
        <v>35</v>
      </c>
      <c r="M13" s="201">
        <v>35</v>
      </c>
      <c r="N13" s="201">
        <f t="shared" si="2"/>
        <v>420</v>
      </c>
    </row>
    <row r="14" spans="1:14" x14ac:dyDescent="0.2">
      <c r="A14" s="200" t="s">
        <v>213</v>
      </c>
      <c r="B14" s="201">
        <v>150</v>
      </c>
      <c r="C14" s="201">
        <v>150</v>
      </c>
      <c r="D14" s="201">
        <v>150</v>
      </c>
      <c r="E14" s="201">
        <v>150</v>
      </c>
      <c r="F14" s="201">
        <v>150</v>
      </c>
      <c r="G14" s="201">
        <v>150</v>
      </c>
      <c r="H14" s="201">
        <v>150</v>
      </c>
      <c r="I14" s="201">
        <v>150</v>
      </c>
      <c r="J14" s="201">
        <v>150</v>
      </c>
      <c r="K14" s="201">
        <v>150</v>
      </c>
      <c r="L14" s="201">
        <v>150</v>
      </c>
      <c r="M14" s="201">
        <v>150</v>
      </c>
      <c r="N14" s="201">
        <f t="shared" si="2"/>
        <v>1800</v>
      </c>
    </row>
    <row r="15" spans="1:14" x14ac:dyDescent="0.2">
      <c r="A15" s="200" t="s">
        <v>328</v>
      </c>
      <c r="B15" s="201">
        <v>6250</v>
      </c>
      <c r="C15" s="201">
        <v>6250</v>
      </c>
      <c r="D15" s="201">
        <v>6250</v>
      </c>
      <c r="E15" s="201">
        <v>6250</v>
      </c>
      <c r="F15" s="201">
        <v>6250</v>
      </c>
      <c r="G15" s="201">
        <v>6250</v>
      </c>
      <c r="H15" s="201">
        <v>1250</v>
      </c>
      <c r="I15" s="201">
        <v>1250</v>
      </c>
      <c r="J15" s="201">
        <v>1250</v>
      </c>
      <c r="K15" s="201">
        <v>1250</v>
      </c>
      <c r="L15" s="201">
        <v>1250</v>
      </c>
      <c r="M15" s="201">
        <v>1250</v>
      </c>
      <c r="N15" s="201">
        <f t="shared" si="2"/>
        <v>45000</v>
      </c>
    </row>
    <row r="16" spans="1:14" x14ac:dyDescent="0.2">
      <c r="A16" s="200" t="s">
        <v>214</v>
      </c>
      <c r="B16" s="201">
        <v>75</v>
      </c>
      <c r="C16" s="201">
        <v>75</v>
      </c>
      <c r="D16" s="201">
        <v>75</v>
      </c>
      <c r="E16" s="201">
        <v>75</v>
      </c>
      <c r="F16" s="201">
        <v>75</v>
      </c>
      <c r="G16" s="201">
        <v>75</v>
      </c>
      <c r="H16" s="201">
        <v>75</v>
      </c>
      <c r="I16" s="201">
        <v>75</v>
      </c>
      <c r="J16" s="201">
        <v>75</v>
      </c>
      <c r="K16" s="201">
        <v>75</v>
      </c>
      <c r="L16" s="201">
        <v>75</v>
      </c>
      <c r="M16" s="201">
        <v>75</v>
      </c>
      <c r="N16" s="201">
        <f t="shared" si="2"/>
        <v>900</v>
      </c>
    </row>
    <row r="17" spans="1:15" x14ac:dyDescent="0.2">
      <c r="A17" s="200" t="s">
        <v>264</v>
      </c>
      <c r="B17" s="201">
        <v>80</v>
      </c>
      <c r="C17" s="201">
        <v>80</v>
      </c>
      <c r="D17" s="201">
        <v>80</v>
      </c>
      <c r="E17" s="201">
        <v>80</v>
      </c>
      <c r="F17" s="201">
        <v>80</v>
      </c>
      <c r="G17" s="201">
        <v>80</v>
      </c>
      <c r="H17" s="201">
        <v>80</v>
      </c>
      <c r="I17" s="201">
        <v>80</v>
      </c>
      <c r="J17" s="201">
        <v>80</v>
      </c>
      <c r="K17" s="201">
        <v>80</v>
      </c>
      <c r="L17" s="201">
        <v>80</v>
      </c>
      <c r="M17" s="201">
        <v>80</v>
      </c>
      <c r="N17" s="201">
        <f t="shared" si="2"/>
        <v>960</v>
      </c>
    </row>
    <row r="18" spans="1:15" x14ac:dyDescent="0.2">
      <c r="A18" s="200" t="s">
        <v>339</v>
      </c>
      <c r="B18" s="201">
        <v>16.670000000000002</v>
      </c>
      <c r="C18" s="201">
        <v>16.670000000000002</v>
      </c>
      <c r="D18" s="201">
        <v>16.670000000000002</v>
      </c>
      <c r="E18" s="201">
        <v>16.670000000000002</v>
      </c>
      <c r="F18" s="201">
        <v>16.670000000000002</v>
      </c>
      <c r="G18" s="201">
        <v>16.670000000000002</v>
      </c>
      <c r="H18" s="201">
        <v>16.670000000000002</v>
      </c>
      <c r="I18" s="201">
        <v>16.670000000000002</v>
      </c>
      <c r="J18" s="201">
        <v>16.670000000000002</v>
      </c>
      <c r="K18" s="201">
        <v>16.670000000000002</v>
      </c>
      <c r="L18" s="201">
        <v>16.670000000000002</v>
      </c>
      <c r="M18" s="201">
        <v>16.63</v>
      </c>
      <c r="N18" s="201">
        <f t="shared" si="2"/>
        <v>200.00000000000006</v>
      </c>
    </row>
    <row r="19" spans="1:15" x14ac:dyDescent="0.2">
      <c r="A19" s="200" t="s">
        <v>359</v>
      </c>
      <c r="B19" s="201">
        <v>37.5</v>
      </c>
      <c r="C19" s="201">
        <v>37.5</v>
      </c>
      <c r="D19" s="201">
        <v>37.5</v>
      </c>
      <c r="E19" s="201">
        <v>37.5</v>
      </c>
      <c r="F19" s="201">
        <v>37.5</v>
      </c>
      <c r="G19" s="201">
        <v>37.5</v>
      </c>
      <c r="H19" s="201">
        <v>37.5</v>
      </c>
      <c r="I19" s="201">
        <v>37.5</v>
      </c>
      <c r="J19" s="201">
        <v>37.5</v>
      </c>
      <c r="K19" s="201">
        <v>37.5</v>
      </c>
      <c r="L19" s="201">
        <v>37.5</v>
      </c>
      <c r="M19" s="201">
        <v>37.5</v>
      </c>
      <c r="N19" s="201">
        <f t="shared" si="2"/>
        <v>450</v>
      </c>
    </row>
    <row r="20" spans="1:15" x14ac:dyDescent="0.2">
      <c r="A20" s="200" t="s">
        <v>267</v>
      </c>
      <c r="B20" s="201">
        <v>205</v>
      </c>
      <c r="C20" s="201">
        <v>205</v>
      </c>
      <c r="D20" s="201">
        <v>205</v>
      </c>
      <c r="E20" s="201">
        <v>205</v>
      </c>
      <c r="F20" s="201">
        <v>205</v>
      </c>
      <c r="G20" s="201">
        <v>205</v>
      </c>
      <c r="H20" s="201">
        <v>205</v>
      </c>
      <c r="I20" s="201">
        <v>205</v>
      </c>
      <c r="J20" s="201">
        <v>205</v>
      </c>
      <c r="K20" s="201">
        <v>205</v>
      </c>
      <c r="L20" s="201">
        <v>205</v>
      </c>
      <c r="M20" s="201">
        <v>205</v>
      </c>
      <c r="N20" s="201">
        <f t="shared" si="2"/>
        <v>2460</v>
      </c>
    </row>
    <row r="21" spans="1:15" x14ac:dyDescent="0.2">
      <c r="A21" s="200" t="s">
        <v>269</v>
      </c>
      <c r="B21" s="201">
        <v>560</v>
      </c>
      <c r="C21" s="201">
        <v>0</v>
      </c>
      <c r="D21" s="201">
        <v>0</v>
      </c>
      <c r="E21" s="201">
        <v>0</v>
      </c>
      <c r="F21" s="201">
        <v>0</v>
      </c>
      <c r="G21" s="201">
        <v>440</v>
      </c>
      <c r="H21" s="201">
        <v>0</v>
      </c>
      <c r="I21" s="201">
        <v>0</v>
      </c>
      <c r="J21" s="201">
        <v>0</v>
      </c>
      <c r="K21" s="201">
        <v>0</v>
      </c>
      <c r="L21" s="201">
        <v>0</v>
      </c>
      <c r="M21" s="201">
        <v>0</v>
      </c>
      <c r="N21" s="201">
        <f t="shared" si="2"/>
        <v>1000</v>
      </c>
    </row>
    <row r="22" spans="1:15" x14ac:dyDescent="0.2">
      <c r="A22" s="154" t="s">
        <v>270</v>
      </c>
      <c r="B22" s="201">
        <v>100</v>
      </c>
      <c r="C22" s="201">
        <v>100</v>
      </c>
      <c r="D22" s="201">
        <v>100</v>
      </c>
      <c r="E22" s="201">
        <v>100</v>
      </c>
      <c r="F22" s="201">
        <v>100</v>
      </c>
      <c r="G22" s="201">
        <v>100</v>
      </c>
      <c r="H22" s="201">
        <v>100</v>
      </c>
      <c r="I22" s="201">
        <v>100</v>
      </c>
      <c r="J22" s="201">
        <v>100</v>
      </c>
      <c r="K22" s="201">
        <v>100</v>
      </c>
      <c r="L22" s="201">
        <v>100</v>
      </c>
      <c r="M22" s="201">
        <v>100</v>
      </c>
      <c r="N22" s="201">
        <f t="shared" si="2"/>
        <v>1200</v>
      </c>
    </row>
    <row r="23" spans="1:15" x14ac:dyDescent="0.2">
      <c r="A23" s="200" t="s">
        <v>272</v>
      </c>
      <c r="B23" s="201">
        <v>170</v>
      </c>
      <c r="C23" s="201">
        <v>170</v>
      </c>
      <c r="D23" s="201">
        <v>170</v>
      </c>
      <c r="E23" s="201">
        <v>170</v>
      </c>
      <c r="F23" s="201">
        <v>170</v>
      </c>
      <c r="G23" s="201">
        <v>170</v>
      </c>
      <c r="H23" s="201">
        <v>170</v>
      </c>
      <c r="I23" s="201">
        <v>170</v>
      </c>
      <c r="J23" s="201">
        <v>170</v>
      </c>
      <c r="K23" s="201">
        <v>170</v>
      </c>
      <c r="L23" s="201">
        <v>170</v>
      </c>
      <c r="M23" s="201">
        <v>170</v>
      </c>
      <c r="N23" s="201">
        <f t="shared" si="2"/>
        <v>2040</v>
      </c>
    </row>
    <row r="24" spans="1:15" x14ac:dyDescent="0.2">
      <c r="A24" s="200" t="s">
        <v>274</v>
      </c>
      <c r="B24" s="201">
        <v>0</v>
      </c>
      <c r="C24" s="201">
        <v>0</v>
      </c>
      <c r="D24" s="201">
        <v>0</v>
      </c>
      <c r="E24" s="201">
        <v>0</v>
      </c>
      <c r="F24" s="201">
        <v>100</v>
      </c>
      <c r="G24" s="201">
        <v>1400</v>
      </c>
      <c r="H24" s="201">
        <v>0</v>
      </c>
      <c r="I24" s="201">
        <v>0</v>
      </c>
      <c r="J24" s="201">
        <v>700</v>
      </c>
      <c r="K24" s="201">
        <v>0</v>
      </c>
      <c r="L24" s="201">
        <v>0</v>
      </c>
      <c r="M24" s="201">
        <v>0</v>
      </c>
      <c r="N24" s="201">
        <f t="shared" si="2"/>
        <v>2200</v>
      </c>
    </row>
    <row r="25" spans="1:15" x14ac:dyDescent="0.2">
      <c r="A25" s="200" t="s">
        <v>375</v>
      </c>
      <c r="B25" s="201">
        <v>1170</v>
      </c>
      <c r="C25" s="201">
        <v>1170</v>
      </c>
      <c r="D25" s="201">
        <v>1170</v>
      </c>
      <c r="E25" s="201">
        <v>1170</v>
      </c>
      <c r="F25" s="201">
        <v>1170</v>
      </c>
      <c r="G25" s="201">
        <v>1170</v>
      </c>
      <c r="H25" s="201">
        <v>1170</v>
      </c>
      <c r="I25" s="201">
        <v>1170</v>
      </c>
      <c r="J25" s="201">
        <v>1170</v>
      </c>
      <c r="K25" s="201">
        <v>1170</v>
      </c>
      <c r="L25" s="201">
        <v>1170</v>
      </c>
      <c r="M25" s="201">
        <v>1170</v>
      </c>
      <c r="N25" s="201">
        <f t="shared" si="2"/>
        <v>14040</v>
      </c>
    </row>
    <row r="26" spans="1:15" x14ac:dyDescent="0.2">
      <c r="A26" s="200" t="s">
        <v>275</v>
      </c>
      <c r="B26" s="155">
        <v>181.03</v>
      </c>
      <c r="C26" s="155">
        <v>181.03</v>
      </c>
      <c r="D26" s="155">
        <v>181.03</v>
      </c>
      <c r="E26" s="155">
        <v>181.03</v>
      </c>
      <c r="F26" s="155">
        <v>181.03</v>
      </c>
      <c r="G26" s="155">
        <v>181.03</v>
      </c>
      <c r="H26" s="155">
        <v>181.03</v>
      </c>
      <c r="I26" s="155">
        <v>181.03</v>
      </c>
      <c r="J26" s="155">
        <v>181.03</v>
      </c>
      <c r="K26" s="155">
        <v>181.03</v>
      </c>
      <c r="L26" s="155">
        <v>181.03</v>
      </c>
      <c r="M26" s="155">
        <v>181.03</v>
      </c>
      <c r="N26" s="201">
        <f t="shared" si="2"/>
        <v>2172.36</v>
      </c>
    </row>
    <row r="27" spans="1:15" x14ac:dyDescent="0.2">
      <c r="A27" s="202" t="s">
        <v>196</v>
      </c>
      <c r="B27" s="203">
        <f t="shared" ref="B27:N27" si="3">SUM(B11:B26)</f>
        <v>11730.2</v>
      </c>
      <c r="C27" s="203">
        <f t="shared" si="3"/>
        <v>11170.2</v>
      </c>
      <c r="D27" s="203">
        <f t="shared" si="3"/>
        <v>11170.2</v>
      </c>
      <c r="E27" s="203">
        <f t="shared" si="3"/>
        <v>11170.2</v>
      </c>
      <c r="F27" s="203">
        <f t="shared" si="3"/>
        <v>11270.2</v>
      </c>
      <c r="G27" s="203">
        <f t="shared" si="3"/>
        <v>13010.2</v>
      </c>
      <c r="H27" s="203">
        <f t="shared" si="3"/>
        <v>6170.2</v>
      </c>
      <c r="I27" s="203">
        <f t="shared" si="3"/>
        <v>6170.2</v>
      </c>
      <c r="J27" s="203">
        <f t="shared" si="3"/>
        <v>6870.2</v>
      </c>
      <c r="K27" s="203">
        <f t="shared" si="3"/>
        <v>6170.2</v>
      </c>
      <c r="L27" s="203">
        <f t="shared" si="3"/>
        <v>6170.2</v>
      </c>
      <c r="M27" s="203">
        <f t="shared" si="3"/>
        <v>6170.16</v>
      </c>
      <c r="N27" s="203">
        <f t="shared" si="3"/>
        <v>107242.36</v>
      </c>
    </row>
    <row r="28" spans="1:15" x14ac:dyDescent="0.2">
      <c r="A28" s="199" t="s">
        <v>222</v>
      </c>
      <c r="B28" s="198"/>
      <c r="C28" s="198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</row>
    <row r="29" spans="1:15" x14ac:dyDescent="0.2">
      <c r="A29" s="200" t="s">
        <v>223</v>
      </c>
      <c r="B29" s="201">
        <v>30550.94</v>
      </c>
      <c r="C29" s="201">
        <v>32158.880000000001</v>
      </c>
      <c r="D29" s="201">
        <v>33766.82</v>
      </c>
      <c r="E29" s="201">
        <v>35374.769999999997</v>
      </c>
      <c r="F29" s="201">
        <v>36982.71</v>
      </c>
      <c r="G29" s="201">
        <v>32158.880000000001</v>
      </c>
      <c r="H29" s="201">
        <v>36982.71</v>
      </c>
      <c r="I29" s="201">
        <v>35374.769999999997</v>
      </c>
      <c r="J29" s="201">
        <v>33766.82</v>
      </c>
      <c r="K29" s="201">
        <v>36982.71</v>
      </c>
      <c r="L29" s="201">
        <v>33766.82</v>
      </c>
      <c r="M29" s="201">
        <v>44612.6</v>
      </c>
      <c r="N29" s="201">
        <f t="shared" ref="N29:N34" si="4">SUM(B29:M29)</f>
        <v>422479.43</v>
      </c>
      <c r="O29" s="210"/>
    </row>
    <row r="30" spans="1:15" x14ac:dyDescent="0.2">
      <c r="A30" s="200" t="s">
        <v>224</v>
      </c>
      <c r="B30" s="201">
        <v>6386.31</v>
      </c>
      <c r="C30" s="201">
        <v>6722.43</v>
      </c>
      <c r="D30" s="201">
        <v>7058.55</v>
      </c>
      <c r="E30" s="201">
        <v>7394.67</v>
      </c>
      <c r="F30" s="201">
        <v>7730.79</v>
      </c>
      <c r="G30" s="201">
        <v>6722.43</v>
      </c>
      <c r="H30" s="201">
        <v>7730.79</v>
      </c>
      <c r="I30" s="201">
        <v>7394.67</v>
      </c>
      <c r="J30" s="201">
        <v>7058.55</v>
      </c>
      <c r="K30" s="201">
        <v>7730.79</v>
      </c>
      <c r="L30" s="201">
        <v>7058.55</v>
      </c>
      <c r="M30" s="201">
        <v>8918.92</v>
      </c>
      <c r="N30" s="201">
        <f t="shared" si="4"/>
        <v>87907.45</v>
      </c>
    </row>
    <row r="31" spans="1:15" x14ac:dyDescent="0.2">
      <c r="A31" s="200" t="s">
        <v>225</v>
      </c>
      <c r="B31" s="201">
        <v>323.72000000000003</v>
      </c>
      <c r="C31" s="201">
        <v>340.76</v>
      </c>
      <c r="D31" s="201">
        <v>357.8</v>
      </c>
      <c r="E31" s="201">
        <v>374.84</v>
      </c>
      <c r="F31" s="201">
        <v>391.87</v>
      </c>
      <c r="G31" s="201">
        <v>340.76</v>
      </c>
      <c r="H31" s="201">
        <v>391.87</v>
      </c>
      <c r="I31" s="201">
        <v>374.84</v>
      </c>
      <c r="J31" s="201">
        <v>357.8</v>
      </c>
      <c r="K31" s="201">
        <v>391.87</v>
      </c>
      <c r="L31" s="201">
        <v>357.8</v>
      </c>
      <c r="M31" s="201">
        <v>374.84</v>
      </c>
      <c r="N31" s="201">
        <f t="shared" si="4"/>
        <v>4378.7700000000004</v>
      </c>
    </row>
    <row r="32" spans="1:15" x14ac:dyDescent="0.2">
      <c r="A32" s="200" t="s">
        <v>226</v>
      </c>
      <c r="B32" s="201">
        <v>3627.27</v>
      </c>
      <c r="C32" s="201">
        <v>2906.59</v>
      </c>
      <c r="D32" s="201">
        <v>3051.92</v>
      </c>
      <c r="E32" s="201">
        <v>3197.25</v>
      </c>
      <c r="F32" s="201">
        <v>3342.58</v>
      </c>
      <c r="G32" s="201">
        <v>2906.59</v>
      </c>
      <c r="H32" s="201">
        <v>3342.58</v>
      </c>
      <c r="I32" s="201">
        <v>3197.25</v>
      </c>
      <c r="J32" s="201">
        <v>3051.92</v>
      </c>
      <c r="K32" s="201">
        <v>3342.58</v>
      </c>
      <c r="L32" s="201">
        <v>3051.92</v>
      </c>
      <c r="M32" s="201">
        <v>3197.25</v>
      </c>
      <c r="N32" s="201">
        <f t="shared" si="4"/>
        <v>38215.699999999997</v>
      </c>
    </row>
    <row r="33" spans="1:14" x14ac:dyDescent="0.2">
      <c r="A33" s="200" t="s">
        <v>227</v>
      </c>
      <c r="B33" s="201">
        <v>1647.03</v>
      </c>
      <c r="C33" s="201">
        <v>803.97</v>
      </c>
      <c r="D33" s="201">
        <v>844.17</v>
      </c>
      <c r="E33" s="201">
        <v>884.37</v>
      </c>
      <c r="F33" s="201">
        <v>924.57</v>
      </c>
      <c r="G33" s="201">
        <v>803.97</v>
      </c>
      <c r="H33" s="201">
        <v>924.57</v>
      </c>
      <c r="I33" s="201">
        <v>884.37</v>
      </c>
      <c r="J33" s="201">
        <v>844.17</v>
      </c>
      <c r="K33" s="201">
        <v>924.57</v>
      </c>
      <c r="L33" s="201">
        <v>844.17</v>
      </c>
      <c r="M33" s="201">
        <v>884.37</v>
      </c>
      <c r="N33" s="201">
        <f t="shared" si="4"/>
        <v>11214.3</v>
      </c>
    </row>
    <row r="34" spans="1:14" x14ac:dyDescent="0.2">
      <c r="A34" s="200" t="s">
        <v>239</v>
      </c>
      <c r="B34" s="201">
        <v>263.20999999999998</v>
      </c>
      <c r="C34" s="201">
        <v>263.20999999999998</v>
      </c>
      <c r="D34" s="201">
        <v>263.20999999999998</v>
      </c>
      <c r="E34" s="201">
        <v>263.20999999999998</v>
      </c>
      <c r="F34" s="201">
        <v>263.20999999999998</v>
      </c>
      <c r="G34" s="201">
        <v>263.20999999999998</v>
      </c>
      <c r="H34" s="201">
        <v>263.20999999999998</v>
      </c>
      <c r="I34" s="201">
        <v>263.20999999999998</v>
      </c>
      <c r="J34" s="201">
        <v>263.20999999999998</v>
      </c>
      <c r="K34" s="201">
        <v>263.20999999999998</v>
      </c>
      <c r="L34" s="201">
        <v>263.20999999999998</v>
      </c>
      <c r="M34" s="201">
        <v>263.20999999999998</v>
      </c>
      <c r="N34" s="201">
        <f t="shared" si="4"/>
        <v>3158.52</v>
      </c>
    </row>
    <row r="35" spans="1:14" x14ac:dyDescent="0.2">
      <c r="A35" s="202" t="s">
        <v>228</v>
      </c>
      <c r="B35" s="203">
        <f t="shared" ref="B35:N35" si="5">SUM(B29:B34)</f>
        <v>42798.479999999996</v>
      </c>
      <c r="C35" s="203">
        <f t="shared" si="5"/>
        <v>43195.840000000004</v>
      </c>
      <c r="D35" s="203">
        <f t="shared" si="5"/>
        <v>45342.47</v>
      </c>
      <c r="E35" s="203">
        <f t="shared" si="5"/>
        <v>47489.109999999993</v>
      </c>
      <c r="F35" s="203">
        <f t="shared" si="5"/>
        <v>49635.73</v>
      </c>
      <c r="G35" s="203">
        <f t="shared" si="5"/>
        <v>43195.840000000004</v>
      </c>
      <c r="H35" s="203">
        <f t="shared" si="5"/>
        <v>49635.73</v>
      </c>
      <c r="I35" s="203">
        <f t="shared" si="5"/>
        <v>47489.109999999993</v>
      </c>
      <c r="J35" s="203">
        <f t="shared" si="5"/>
        <v>45342.47</v>
      </c>
      <c r="K35" s="203">
        <f t="shared" si="5"/>
        <v>49635.73</v>
      </c>
      <c r="L35" s="203">
        <f t="shared" si="5"/>
        <v>45342.47</v>
      </c>
      <c r="M35" s="203">
        <f t="shared" si="5"/>
        <v>58251.189999999995</v>
      </c>
      <c r="N35" s="203">
        <f t="shared" si="5"/>
        <v>567354.17000000004</v>
      </c>
    </row>
    <row r="36" spans="1:14" x14ac:dyDescent="0.2">
      <c r="A36" s="204" t="s">
        <v>197</v>
      </c>
      <c r="B36" s="203">
        <f t="shared" ref="B36:N36" si="6">SUM(B27,B35)</f>
        <v>54528.679999999993</v>
      </c>
      <c r="C36" s="203">
        <f t="shared" si="6"/>
        <v>54366.040000000008</v>
      </c>
      <c r="D36" s="203">
        <f t="shared" si="6"/>
        <v>56512.67</v>
      </c>
      <c r="E36" s="203">
        <f t="shared" si="6"/>
        <v>58659.31</v>
      </c>
      <c r="F36" s="203">
        <f t="shared" si="6"/>
        <v>60905.930000000008</v>
      </c>
      <c r="G36" s="203">
        <f t="shared" si="6"/>
        <v>56206.040000000008</v>
      </c>
      <c r="H36" s="203">
        <f t="shared" si="6"/>
        <v>55805.93</v>
      </c>
      <c r="I36" s="203">
        <f t="shared" si="6"/>
        <v>53659.30999999999</v>
      </c>
      <c r="J36" s="203">
        <f t="shared" si="6"/>
        <v>52212.67</v>
      </c>
      <c r="K36" s="203">
        <f t="shared" si="6"/>
        <v>55805.93</v>
      </c>
      <c r="L36" s="203">
        <f t="shared" si="6"/>
        <v>51512.67</v>
      </c>
      <c r="M36" s="203">
        <f t="shared" si="6"/>
        <v>64421.349999999991</v>
      </c>
      <c r="N36" s="203">
        <f t="shared" si="6"/>
        <v>674596.53</v>
      </c>
    </row>
    <row r="37" spans="1:14" x14ac:dyDescent="0.2">
      <c r="A37" s="195" t="s">
        <v>198</v>
      </c>
      <c r="B37" s="196">
        <f t="shared" ref="B37:N37" si="7">B8-B36</f>
        <v>-54528.679999999993</v>
      </c>
      <c r="C37" s="196">
        <f t="shared" si="7"/>
        <v>-54366.040000000008</v>
      </c>
      <c r="D37" s="196">
        <f t="shared" si="7"/>
        <v>-56512.67</v>
      </c>
      <c r="E37" s="196">
        <f t="shared" si="7"/>
        <v>-58659.31</v>
      </c>
      <c r="F37" s="196">
        <f t="shared" si="7"/>
        <v>-60905.930000000008</v>
      </c>
      <c r="G37" s="196">
        <f t="shared" si="7"/>
        <v>-56206.040000000008</v>
      </c>
      <c r="H37" s="196">
        <f t="shared" si="7"/>
        <v>-55805.93</v>
      </c>
      <c r="I37" s="196">
        <f t="shared" si="7"/>
        <v>-53659.30999999999</v>
      </c>
      <c r="J37" s="196">
        <f t="shared" si="7"/>
        <v>-52212.67</v>
      </c>
      <c r="K37" s="196">
        <f t="shared" si="7"/>
        <v>-55805.93</v>
      </c>
      <c r="L37" s="196">
        <f t="shared" si="7"/>
        <v>-51512.67</v>
      </c>
      <c r="M37" s="196">
        <f t="shared" si="7"/>
        <v>-64421.349999999991</v>
      </c>
      <c r="N37" s="196">
        <f t="shared" si="7"/>
        <v>-674596.53</v>
      </c>
    </row>
    <row r="38" spans="1:14" x14ac:dyDescent="0.2">
      <c r="A38" s="195" t="s">
        <v>31</v>
      </c>
      <c r="B38" s="196">
        <f t="shared" ref="B38:N38" si="8">B37+0+0</f>
        <v>-54528.679999999993</v>
      </c>
      <c r="C38" s="196">
        <f t="shared" si="8"/>
        <v>-54366.040000000008</v>
      </c>
      <c r="D38" s="196">
        <f t="shared" si="8"/>
        <v>-56512.67</v>
      </c>
      <c r="E38" s="196">
        <f t="shared" si="8"/>
        <v>-58659.31</v>
      </c>
      <c r="F38" s="196">
        <f t="shared" si="8"/>
        <v>-60905.930000000008</v>
      </c>
      <c r="G38" s="196">
        <f t="shared" si="8"/>
        <v>-56206.040000000008</v>
      </c>
      <c r="H38" s="196">
        <f t="shared" si="8"/>
        <v>-55805.93</v>
      </c>
      <c r="I38" s="196">
        <f t="shared" si="8"/>
        <v>-53659.30999999999</v>
      </c>
      <c r="J38" s="196">
        <f t="shared" si="8"/>
        <v>-52212.67</v>
      </c>
      <c r="K38" s="196">
        <f t="shared" si="8"/>
        <v>-55805.93</v>
      </c>
      <c r="L38" s="196">
        <f t="shared" si="8"/>
        <v>-51512.67</v>
      </c>
      <c r="M38" s="196">
        <f t="shared" si="8"/>
        <v>-64421.349999999991</v>
      </c>
      <c r="N38" s="196">
        <f t="shared" si="8"/>
        <v>-674596.53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90ACD-196C-224A-9111-0432E72BA6E7}">
  <sheetPr codeName="Sheet35"/>
  <dimension ref="A1:N33"/>
  <sheetViews>
    <sheetView topLeftCell="A5" workbookViewId="0">
      <selection activeCell="M25" sqref="M25"/>
    </sheetView>
  </sheetViews>
  <sheetFormatPr defaultColWidth="8.875" defaultRowHeight="15.75" x14ac:dyDescent="0.25"/>
  <cols>
    <col min="1" max="1" width="49" bestFit="1" customWidth="1"/>
    <col min="2" max="13" width="8.125" customWidth="1"/>
    <col min="14" max="14" width="8.875" bestFit="1" customWidth="1"/>
  </cols>
  <sheetData>
    <row r="1" spans="1:14" x14ac:dyDescent="0.25">
      <c r="A1" s="364" t="s">
        <v>182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</row>
    <row r="2" spans="1:14" ht="18" x14ac:dyDescent="0.25">
      <c r="A2" s="365" t="s">
        <v>183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" x14ac:dyDescent="0.25">
      <c r="A3" s="365" t="s">
        <v>184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</row>
    <row r="4" spans="1:14" ht="18" x14ac:dyDescent="0.25">
      <c r="A4" s="365" t="s">
        <v>406</v>
      </c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</row>
    <row r="5" spans="1:14" ht="18" x14ac:dyDescent="0.25">
      <c r="A5" s="365" t="s">
        <v>186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</row>
    <row r="6" spans="1:14" x14ac:dyDescent="0.25">
      <c r="A6" s="162" t="s">
        <v>187</v>
      </c>
      <c r="B6" s="171">
        <v>45658</v>
      </c>
      <c r="C6" s="171">
        <v>45689</v>
      </c>
      <c r="D6" s="171">
        <v>45717</v>
      </c>
      <c r="E6" s="171">
        <v>45748</v>
      </c>
      <c r="F6" s="171">
        <v>45778</v>
      </c>
      <c r="G6" s="171">
        <v>45809</v>
      </c>
      <c r="H6" s="171">
        <v>45839</v>
      </c>
      <c r="I6" s="171">
        <v>45870</v>
      </c>
      <c r="J6" s="171">
        <v>45901</v>
      </c>
      <c r="K6" s="171">
        <v>45931</v>
      </c>
      <c r="L6" s="171">
        <v>45962</v>
      </c>
      <c r="M6" s="171">
        <v>45992</v>
      </c>
      <c r="N6" s="172" t="s">
        <v>188</v>
      </c>
    </row>
    <row r="7" spans="1:14" x14ac:dyDescent="0.25">
      <c r="A7" s="162" t="s">
        <v>190</v>
      </c>
      <c r="B7" s="172" t="s">
        <v>191</v>
      </c>
      <c r="C7" s="172" t="s">
        <v>191</v>
      </c>
      <c r="D7" s="172" t="s">
        <v>191</v>
      </c>
      <c r="E7" s="172" t="s">
        <v>191</v>
      </c>
      <c r="F7" s="172" t="s">
        <v>191</v>
      </c>
      <c r="G7" s="172" t="s">
        <v>191</v>
      </c>
      <c r="H7" s="172" t="s">
        <v>191</v>
      </c>
      <c r="I7" s="172" t="s">
        <v>191</v>
      </c>
      <c r="J7" s="172" t="s">
        <v>191</v>
      </c>
      <c r="K7" s="172" t="s">
        <v>191</v>
      </c>
      <c r="L7" s="172" t="s">
        <v>191</v>
      </c>
      <c r="M7" s="172" t="s">
        <v>191</v>
      </c>
      <c r="N7" s="172" t="s">
        <v>18</v>
      </c>
    </row>
    <row r="8" spans="1:14" x14ac:dyDescent="0.25">
      <c r="A8" s="149" t="s">
        <v>193</v>
      </c>
      <c r="B8" s="150">
        <f t="shared" ref="B8:N8" si="0">0-0</f>
        <v>0</v>
      </c>
      <c r="C8" s="150">
        <f t="shared" si="0"/>
        <v>0</v>
      </c>
      <c r="D8" s="150">
        <f t="shared" si="0"/>
        <v>0</v>
      </c>
      <c r="E8" s="150">
        <f t="shared" si="0"/>
        <v>0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0</v>
      </c>
      <c r="M8" s="150">
        <f t="shared" si="0"/>
        <v>0</v>
      </c>
      <c r="N8" s="150">
        <f t="shared" si="0"/>
        <v>0</v>
      </c>
    </row>
    <row r="9" spans="1:14" x14ac:dyDescent="0.25">
      <c r="A9" s="151" t="s">
        <v>194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</row>
    <row r="10" spans="1:14" x14ac:dyDescent="0.25">
      <c r="A10" s="153" t="s">
        <v>195</v>
      </c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</row>
    <row r="11" spans="1:14" x14ac:dyDescent="0.25">
      <c r="A11" s="154" t="s">
        <v>212</v>
      </c>
      <c r="B11" s="155">
        <v>10</v>
      </c>
      <c r="C11" s="155">
        <v>10</v>
      </c>
      <c r="D11" s="155">
        <v>10</v>
      </c>
      <c r="E11" s="155">
        <v>10</v>
      </c>
      <c r="F11" s="155">
        <v>10</v>
      </c>
      <c r="G11" s="155">
        <v>10</v>
      </c>
      <c r="H11" s="155">
        <v>10</v>
      </c>
      <c r="I11" s="155">
        <v>10</v>
      </c>
      <c r="J11" s="155">
        <v>10</v>
      </c>
      <c r="K11" s="155">
        <v>10</v>
      </c>
      <c r="L11" s="155">
        <v>10</v>
      </c>
      <c r="M11" s="155">
        <v>10</v>
      </c>
      <c r="N11" s="155">
        <f t="shared" ref="N11:N21" si="1">SUM(B11:M11)</f>
        <v>120</v>
      </c>
    </row>
    <row r="12" spans="1:14" x14ac:dyDescent="0.25">
      <c r="A12" s="154" t="s">
        <v>213</v>
      </c>
      <c r="B12" s="155">
        <v>50</v>
      </c>
      <c r="C12" s="155">
        <v>50</v>
      </c>
      <c r="D12" s="155">
        <v>50</v>
      </c>
      <c r="E12" s="155">
        <v>50</v>
      </c>
      <c r="F12" s="155">
        <v>50</v>
      </c>
      <c r="G12" s="155">
        <v>50</v>
      </c>
      <c r="H12" s="155">
        <v>50</v>
      </c>
      <c r="I12" s="155">
        <v>50</v>
      </c>
      <c r="J12" s="155">
        <v>50</v>
      </c>
      <c r="K12" s="155">
        <v>50</v>
      </c>
      <c r="L12" s="155">
        <v>50</v>
      </c>
      <c r="M12" s="155">
        <v>50</v>
      </c>
      <c r="N12" s="155">
        <f t="shared" si="1"/>
        <v>600</v>
      </c>
    </row>
    <row r="13" spans="1:14" x14ac:dyDescent="0.25">
      <c r="A13" s="154" t="s">
        <v>328</v>
      </c>
      <c r="B13" s="155">
        <v>50</v>
      </c>
      <c r="C13" s="155">
        <v>50</v>
      </c>
      <c r="D13" s="155">
        <v>50</v>
      </c>
      <c r="E13" s="155">
        <v>50</v>
      </c>
      <c r="F13" s="155">
        <v>50</v>
      </c>
      <c r="G13" s="155">
        <v>50</v>
      </c>
      <c r="H13" s="155">
        <v>50</v>
      </c>
      <c r="I13" s="155">
        <v>50</v>
      </c>
      <c r="J13" s="155">
        <v>50</v>
      </c>
      <c r="K13" s="155">
        <v>50</v>
      </c>
      <c r="L13" s="155">
        <v>50</v>
      </c>
      <c r="M13" s="155">
        <v>50</v>
      </c>
      <c r="N13" s="155">
        <f t="shared" si="1"/>
        <v>600</v>
      </c>
    </row>
    <row r="14" spans="1:14" x14ac:dyDescent="0.25">
      <c r="A14" s="154" t="s">
        <v>329</v>
      </c>
      <c r="B14" s="155">
        <v>0</v>
      </c>
      <c r="C14" s="155">
        <v>0</v>
      </c>
      <c r="D14" s="155">
        <v>0</v>
      </c>
      <c r="E14" s="155">
        <v>0</v>
      </c>
      <c r="F14" s="155">
        <v>0</v>
      </c>
      <c r="G14" s="155">
        <v>50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f t="shared" si="1"/>
        <v>50</v>
      </c>
    </row>
    <row r="15" spans="1:14" x14ac:dyDescent="0.25">
      <c r="A15" s="154" t="s">
        <v>369</v>
      </c>
      <c r="B15" s="155">
        <v>120</v>
      </c>
      <c r="C15" s="155">
        <v>120</v>
      </c>
      <c r="D15" s="155">
        <v>120</v>
      </c>
      <c r="E15" s="155">
        <v>120</v>
      </c>
      <c r="F15" s="155">
        <v>120</v>
      </c>
      <c r="G15" s="155">
        <v>120</v>
      </c>
      <c r="H15" s="155">
        <v>120</v>
      </c>
      <c r="I15" s="155">
        <v>120</v>
      </c>
      <c r="J15" s="155">
        <v>120</v>
      </c>
      <c r="K15" s="155">
        <v>120</v>
      </c>
      <c r="L15" s="155">
        <v>120</v>
      </c>
      <c r="M15" s="155">
        <v>120</v>
      </c>
      <c r="N15" s="155">
        <f t="shared" si="1"/>
        <v>1440</v>
      </c>
    </row>
    <row r="16" spans="1:14" x14ac:dyDescent="0.25">
      <c r="A16" s="154" t="s">
        <v>214</v>
      </c>
      <c r="B16" s="155">
        <v>15</v>
      </c>
      <c r="C16" s="155">
        <v>15</v>
      </c>
      <c r="D16" s="155">
        <v>15</v>
      </c>
      <c r="E16" s="155">
        <v>15</v>
      </c>
      <c r="F16" s="155">
        <v>15</v>
      </c>
      <c r="G16" s="155">
        <v>15</v>
      </c>
      <c r="H16" s="155">
        <v>15</v>
      </c>
      <c r="I16" s="155">
        <v>15</v>
      </c>
      <c r="J16" s="155">
        <v>15</v>
      </c>
      <c r="K16" s="155">
        <v>15</v>
      </c>
      <c r="L16" s="155">
        <v>15</v>
      </c>
      <c r="M16" s="155">
        <v>15</v>
      </c>
      <c r="N16" s="155">
        <f t="shared" si="1"/>
        <v>180</v>
      </c>
    </row>
    <row r="17" spans="1:14" x14ac:dyDescent="0.25">
      <c r="A17" s="182" t="s">
        <v>330</v>
      </c>
      <c r="B17" s="155">
        <v>20</v>
      </c>
      <c r="C17" s="155">
        <v>20</v>
      </c>
      <c r="D17" s="155">
        <v>20</v>
      </c>
      <c r="E17" s="155">
        <v>20</v>
      </c>
      <c r="F17" s="155">
        <v>20</v>
      </c>
      <c r="G17" s="155">
        <v>20</v>
      </c>
      <c r="H17" s="155">
        <v>20</v>
      </c>
      <c r="I17" s="155">
        <v>20</v>
      </c>
      <c r="J17" s="155">
        <v>20</v>
      </c>
      <c r="K17" s="155">
        <v>20</v>
      </c>
      <c r="L17" s="155">
        <v>20</v>
      </c>
      <c r="M17" s="155">
        <v>20</v>
      </c>
      <c r="N17" s="155">
        <f t="shared" si="1"/>
        <v>240</v>
      </c>
    </row>
    <row r="18" spans="1:14" x14ac:dyDescent="0.25">
      <c r="A18" s="154" t="s">
        <v>267</v>
      </c>
      <c r="B18" s="155">
        <v>10</v>
      </c>
      <c r="C18" s="155">
        <v>15</v>
      </c>
      <c r="D18" s="155">
        <v>15</v>
      </c>
      <c r="E18" s="155">
        <v>15</v>
      </c>
      <c r="F18" s="155">
        <v>15</v>
      </c>
      <c r="G18" s="155">
        <v>15</v>
      </c>
      <c r="H18" s="155">
        <v>15</v>
      </c>
      <c r="I18" s="155">
        <v>15</v>
      </c>
      <c r="J18" s="155">
        <v>15</v>
      </c>
      <c r="K18" s="155">
        <v>15</v>
      </c>
      <c r="L18" s="155">
        <v>15</v>
      </c>
      <c r="M18" s="155">
        <v>10</v>
      </c>
      <c r="N18" s="155">
        <f t="shared" si="1"/>
        <v>170</v>
      </c>
    </row>
    <row r="19" spans="1:14" x14ac:dyDescent="0.25">
      <c r="A19" s="154" t="s">
        <v>270</v>
      </c>
      <c r="B19" s="155">
        <v>71.98</v>
      </c>
      <c r="C19" s="155">
        <v>71.98</v>
      </c>
      <c r="D19" s="155">
        <v>71.98</v>
      </c>
      <c r="E19" s="155">
        <v>71.98</v>
      </c>
      <c r="F19" s="155">
        <v>71.98</v>
      </c>
      <c r="G19" s="155">
        <v>71.98</v>
      </c>
      <c r="H19" s="155">
        <v>71.98</v>
      </c>
      <c r="I19" s="155">
        <v>71.98</v>
      </c>
      <c r="J19" s="155">
        <v>71.98</v>
      </c>
      <c r="K19" s="155">
        <v>71.98</v>
      </c>
      <c r="L19" s="155">
        <v>71.98</v>
      </c>
      <c r="M19" s="155">
        <v>71.98</v>
      </c>
      <c r="N19" s="155">
        <f t="shared" si="1"/>
        <v>863.7600000000001</v>
      </c>
    </row>
    <row r="20" spans="1:14" x14ac:dyDescent="0.25">
      <c r="A20" s="182" t="s">
        <v>274</v>
      </c>
      <c r="B20" s="155">
        <v>1600</v>
      </c>
      <c r="C20" s="155">
        <v>1600</v>
      </c>
      <c r="D20" s="155">
        <v>2200</v>
      </c>
      <c r="E20" s="155">
        <v>1600</v>
      </c>
      <c r="F20" s="155">
        <v>1600</v>
      </c>
      <c r="G20" s="155">
        <v>2200</v>
      </c>
      <c r="H20" s="155">
        <v>1600</v>
      </c>
      <c r="I20" s="155">
        <v>1600</v>
      </c>
      <c r="J20" s="155">
        <v>2200</v>
      </c>
      <c r="K20" s="155">
        <v>1600</v>
      </c>
      <c r="L20" s="155">
        <v>1600</v>
      </c>
      <c r="M20" s="155">
        <v>2200</v>
      </c>
      <c r="N20" s="155">
        <f t="shared" si="1"/>
        <v>21600</v>
      </c>
    </row>
    <row r="21" spans="1:14" x14ac:dyDescent="0.25">
      <c r="A21" s="154" t="s">
        <v>275</v>
      </c>
      <c r="B21" s="155">
        <v>147.55000000000001</v>
      </c>
      <c r="C21" s="155">
        <v>147.55000000000001</v>
      </c>
      <c r="D21" s="155">
        <v>147.55000000000001</v>
      </c>
      <c r="E21" s="155">
        <v>147.55000000000001</v>
      </c>
      <c r="F21" s="155">
        <v>147.55000000000001</v>
      </c>
      <c r="G21" s="155">
        <v>147.55000000000001</v>
      </c>
      <c r="H21" s="155">
        <v>147.55000000000001</v>
      </c>
      <c r="I21" s="155">
        <v>147.55000000000001</v>
      </c>
      <c r="J21" s="155">
        <v>147.55000000000001</v>
      </c>
      <c r="K21" s="155">
        <v>147.55000000000001</v>
      </c>
      <c r="L21" s="155">
        <v>147.55000000000001</v>
      </c>
      <c r="M21" s="155">
        <v>147.55000000000001</v>
      </c>
      <c r="N21" s="155">
        <f t="shared" si="1"/>
        <v>1770.5999999999997</v>
      </c>
    </row>
    <row r="22" spans="1:14" x14ac:dyDescent="0.25">
      <c r="A22" s="156" t="s">
        <v>196</v>
      </c>
      <c r="B22" s="157">
        <f t="shared" ref="B22:M22" si="2">SUM(B11:B21)</f>
        <v>2094.5300000000002</v>
      </c>
      <c r="C22" s="157">
        <f t="shared" si="2"/>
        <v>2099.5300000000002</v>
      </c>
      <c r="D22" s="157">
        <f t="shared" si="2"/>
        <v>2699.53</v>
      </c>
      <c r="E22" s="157">
        <f t="shared" si="2"/>
        <v>2099.5300000000002</v>
      </c>
      <c r="F22" s="157">
        <f t="shared" si="2"/>
        <v>2099.5300000000002</v>
      </c>
      <c r="G22" s="157">
        <f t="shared" si="2"/>
        <v>2749.53</v>
      </c>
      <c r="H22" s="157">
        <f t="shared" si="2"/>
        <v>2099.5300000000002</v>
      </c>
      <c r="I22" s="157">
        <f t="shared" si="2"/>
        <v>2099.5300000000002</v>
      </c>
      <c r="J22" s="157">
        <f t="shared" si="2"/>
        <v>2699.53</v>
      </c>
      <c r="K22" s="157">
        <f t="shared" si="2"/>
        <v>2099.5300000000002</v>
      </c>
      <c r="L22" s="157">
        <f t="shared" si="2"/>
        <v>2099.5300000000002</v>
      </c>
      <c r="M22" s="157">
        <f t="shared" si="2"/>
        <v>2694.53</v>
      </c>
      <c r="N22" s="157">
        <f>SUM(N11:N21)</f>
        <v>27634.36</v>
      </c>
    </row>
    <row r="23" spans="1:14" x14ac:dyDescent="0.25">
      <c r="A23" s="153" t="s">
        <v>222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</row>
    <row r="24" spans="1:14" x14ac:dyDescent="0.25">
      <c r="A24" s="154" t="s">
        <v>223</v>
      </c>
      <c r="B24" s="155">
        <v>14081.7</v>
      </c>
      <c r="C24" s="155">
        <v>14822.84</v>
      </c>
      <c r="D24" s="155">
        <v>15563.98</v>
      </c>
      <c r="E24" s="155">
        <v>16305.12</v>
      </c>
      <c r="F24" s="155">
        <v>17046.27</v>
      </c>
      <c r="G24" s="155">
        <v>14822.84</v>
      </c>
      <c r="H24" s="155">
        <v>17046.27</v>
      </c>
      <c r="I24" s="155">
        <v>16305.12</v>
      </c>
      <c r="J24" s="155">
        <v>15563.98</v>
      </c>
      <c r="K24" s="155">
        <v>17046.27</v>
      </c>
      <c r="L24" s="155">
        <v>15563.98</v>
      </c>
      <c r="M24" s="155">
        <v>18165.400000000001</v>
      </c>
      <c r="N24" s="155">
        <f t="shared" ref="N24:N29" si="3">SUM(B24:M24)</f>
        <v>192333.77</v>
      </c>
    </row>
    <row r="25" spans="1:14" x14ac:dyDescent="0.25">
      <c r="A25" s="154" t="s">
        <v>224</v>
      </c>
      <c r="B25" s="155">
        <v>2843.31</v>
      </c>
      <c r="C25" s="155">
        <v>2992.96</v>
      </c>
      <c r="D25" s="155">
        <v>3142.61</v>
      </c>
      <c r="E25" s="155">
        <v>3292.26</v>
      </c>
      <c r="F25" s="155">
        <v>3441.91</v>
      </c>
      <c r="G25" s="155">
        <v>2992.96</v>
      </c>
      <c r="H25" s="155">
        <v>3441.91</v>
      </c>
      <c r="I25" s="155">
        <v>3292.26</v>
      </c>
      <c r="J25" s="155">
        <v>3142.61</v>
      </c>
      <c r="K25" s="155">
        <v>3441.91</v>
      </c>
      <c r="L25" s="155">
        <v>3142.61</v>
      </c>
      <c r="M25" s="155">
        <v>3714.7</v>
      </c>
      <c r="N25" s="155">
        <f t="shared" si="3"/>
        <v>38882.009999999995</v>
      </c>
    </row>
    <row r="26" spans="1:14" x14ac:dyDescent="0.25">
      <c r="A26" s="154" t="s">
        <v>225</v>
      </c>
      <c r="B26" s="155">
        <v>143.44</v>
      </c>
      <c r="C26" s="155">
        <v>150.99</v>
      </c>
      <c r="D26" s="155">
        <v>158.54</v>
      </c>
      <c r="E26" s="155">
        <v>166.08</v>
      </c>
      <c r="F26" s="155">
        <v>173.63</v>
      </c>
      <c r="G26" s="155">
        <v>150.99</v>
      </c>
      <c r="H26" s="155">
        <v>173.63</v>
      </c>
      <c r="I26" s="155">
        <v>166.08</v>
      </c>
      <c r="J26" s="155">
        <v>158.54</v>
      </c>
      <c r="K26" s="155">
        <v>173.63</v>
      </c>
      <c r="L26" s="155">
        <v>158.54</v>
      </c>
      <c r="M26" s="155">
        <v>166.08</v>
      </c>
      <c r="N26" s="155">
        <f t="shared" si="3"/>
        <v>1940.17</v>
      </c>
    </row>
    <row r="27" spans="1:14" x14ac:dyDescent="0.25">
      <c r="A27" s="154" t="s">
        <v>226</v>
      </c>
      <c r="B27" s="155">
        <v>2026.14</v>
      </c>
      <c r="C27" s="155">
        <v>838.51</v>
      </c>
      <c r="D27" s="155">
        <v>880.43</v>
      </c>
      <c r="E27" s="155">
        <v>922.36</v>
      </c>
      <c r="F27" s="155">
        <v>964.28</v>
      </c>
      <c r="G27" s="155">
        <v>838.51</v>
      </c>
      <c r="H27" s="155">
        <v>964.28</v>
      </c>
      <c r="I27" s="155">
        <v>922.36</v>
      </c>
      <c r="J27" s="155">
        <v>880.43</v>
      </c>
      <c r="K27" s="155">
        <v>964.28</v>
      </c>
      <c r="L27" s="155">
        <v>880.43</v>
      </c>
      <c r="M27" s="155">
        <v>922.36</v>
      </c>
      <c r="N27" s="155">
        <f t="shared" si="3"/>
        <v>12004.37</v>
      </c>
    </row>
    <row r="28" spans="1:14" x14ac:dyDescent="0.25">
      <c r="A28" s="154" t="s">
        <v>227</v>
      </c>
      <c r="B28" s="155">
        <v>961.58</v>
      </c>
      <c r="C28" s="155">
        <v>231.93</v>
      </c>
      <c r="D28" s="155">
        <v>243.53</v>
      </c>
      <c r="E28" s="155">
        <v>255.13</v>
      </c>
      <c r="F28" s="155">
        <v>266.72000000000003</v>
      </c>
      <c r="G28" s="155">
        <v>231.93</v>
      </c>
      <c r="H28" s="155">
        <v>266.72000000000003</v>
      </c>
      <c r="I28" s="155">
        <v>255.13</v>
      </c>
      <c r="J28" s="155">
        <v>243.53</v>
      </c>
      <c r="K28" s="155">
        <v>266.72000000000003</v>
      </c>
      <c r="L28" s="155">
        <v>243.53</v>
      </c>
      <c r="M28" s="155">
        <v>255.13</v>
      </c>
      <c r="N28" s="155">
        <f t="shared" si="3"/>
        <v>3721.5800000000004</v>
      </c>
    </row>
    <row r="29" spans="1:14" x14ac:dyDescent="0.25">
      <c r="A29" s="154" t="s">
        <v>239</v>
      </c>
      <c r="B29" s="155">
        <v>156.47999999999999</v>
      </c>
      <c r="C29" s="155">
        <v>126.67</v>
      </c>
      <c r="D29" s="155">
        <v>126.67</v>
      </c>
      <c r="E29" s="155">
        <v>126.67</v>
      </c>
      <c r="F29" s="155">
        <v>126.67</v>
      </c>
      <c r="G29" s="155">
        <v>126.67</v>
      </c>
      <c r="H29" s="155">
        <v>126.67</v>
      </c>
      <c r="I29" s="155">
        <v>126.67</v>
      </c>
      <c r="J29" s="155">
        <v>126.67</v>
      </c>
      <c r="K29" s="155">
        <v>126.67</v>
      </c>
      <c r="L29" s="155">
        <v>126.67</v>
      </c>
      <c r="M29" s="155">
        <v>126.67</v>
      </c>
      <c r="N29" s="155">
        <f t="shared" si="3"/>
        <v>1549.8500000000001</v>
      </c>
    </row>
    <row r="30" spans="1:14" x14ac:dyDescent="0.25">
      <c r="A30" s="156" t="s">
        <v>228</v>
      </c>
      <c r="B30" s="157">
        <f t="shared" ref="B30:N30" si="4">SUM(B24:B29)</f>
        <v>20212.650000000001</v>
      </c>
      <c r="C30" s="157">
        <f t="shared" si="4"/>
        <v>19163.899999999998</v>
      </c>
      <c r="D30" s="157">
        <f t="shared" si="4"/>
        <v>20115.759999999998</v>
      </c>
      <c r="E30" s="157">
        <f t="shared" si="4"/>
        <v>21067.620000000003</v>
      </c>
      <c r="F30" s="157">
        <f t="shared" si="4"/>
        <v>22019.48</v>
      </c>
      <c r="G30" s="157">
        <f t="shared" si="4"/>
        <v>19163.899999999998</v>
      </c>
      <c r="H30" s="157">
        <f t="shared" si="4"/>
        <v>22019.48</v>
      </c>
      <c r="I30" s="157">
        <f t="shared" si="4"/>
        <v>21067.620000000003</v>
      </c>
      <c r="J30" s="157">
        <f t="shared" si="4"/>
        <v>20115.759999999998</v>
      </c>
      <c r="K30" s="157">
        <f t="shared" si="4"/>
        <v>22019.48</v>
      </c>
      <c r="L30" s="157">
        <f t="shared" si="4"/>
        <v>20115.759999999998</v>
      </c>
      <c r="M30" s="157">
        <f t="shared" si="4"/>
        <v>23350.340000000004</v>
      </c>
      <c r="N30" s="157">
        <f t="shared" si="4"/>
        <v>250431.74999999997</v>
      </c>
    </row>
    <row r="31" spans="1:14" x14ac:dyDescent="0.25">
      <c r="A31" s="158" t="s">
        <v>197</v>
      </c>
      <c r="B31" s="157">
        <f t="shared" ref="B31:N31" si="5">SUM(B22,B30)</f>
        <v>22307.18</v>
      </c>
      <c r="C31" s="157">
        <f t="shared" si="5"/>
        <v>21263.429999999997</v>
      </c>
      <c r="D31" s="157">
        <f t="shared" si="5"/>
        <v>22815.289999999997</v>
      </c>
      <c r="E31" s="157">
        <f t="shared" si="5"/>
        <v>23167.15</v>
      </c>
      <c r="F31" s="157">
        <f t="shared" si="5"/>
        <v>24119.01</v>
      </c>
      <c r="G31" s="157">
        <f t="shared" si="5"/>
        <v>21913.429999999997</v>
      </c>
      <c r="H31" s="157">
        <f t="shared" si="5"/>
        <v>24119.01</v>
      </c>
      <c r="I31" s="157">
        <f t="shared" si="5"/>
        <v>23167.15</v>
      </c>
      <c r="J31" s="157">
        <f t="shared" si="5"/>
        <v>22815.289999999997</v>
      </c>
      <c r="K31" s="157">
        <f t="shared" si="5"/>
        <v>24119.01</v>
      </c>
      <c r="L31" s="157">
        <f t="shared" si="5"/>
        <v>22215.289999999997</v>
      </c>
      <c r="M31" s="157">
        <f t="shared" si="5"/>
        <v>26044.870000000003</v>
      </c>
      <c r="N31" s="157">
        <f t="shared" si="5"/>
        <v>278066.11</v>
      </c>
    </row>
    <row r="32" spans="1:14" x14ac:dyDescent="0.25">
      <c r="A32" s="149" t="s">
        <v>198</v>
      </c>
      <c r="B32" s="150">
        <f t="shared" ref="B32:N32" si="6">B8-B31</f>
        <v>-22307.18</v>
      </c>
      <c r="C32" s="150">
        <f t="shared" si="6"/>
        <v>-21263.429999999997</v>
      </c>
      <c r="D32" s="150">
        <f t="shared" si="6"/>
        <v>-22815.289999999997</v>
      </c>
      <c r="E32" s="150">
        <f t="shared" si="6"/>
        <v>-23167.15</v>
      </c>
      <c r="F32" s="150">
        <f t="shared" si="6"/>
        <v>-24119.01</v>
      </c>
      <c r="G32" s="150">
        <f t="shared" si="6"/>
        <v>-21913.429999999997</v>
      </c>
      <c r="H32" s="150">
        <f t="shared" si="6"/>
        <v>-24119.01</v>
      </c>
      <c r="I32" s="150">
        <f t="shared" si="6"/>
        <v>-23167.15</v>
      </c>
      <c r="J32" s="150">
        <f t="shared" si="6"/>
        <v>-22815.289999999997</v>
      </c>
      <c r="K32" s="150">
        <f t="shared" si="6"/>
        <v>-24119.01</v>
      </c>
      <c r="L32" s="150">
        <f t="shared" si="6"/>
        <v>-22215.289999999997</v>
      </c>
      <c r="M32" s="150">
        <f t="shared" si="6"/>
        <v>-26044.870000000003</v>
      </c>
      <c r="N32" s="150">
        <f t="shared" si="6"/>
        <v>-278066.11</v>
      </c>
    </row>
    <row r="33" spans="1:14" x14ac:dyDescent="0.25">
      <c r="A33" s="149" t="s">
        <v>31</v>
      </c>
      <c r="B33" s="150">
        <f t="shared" ref="B33:N33" si="7">B32+0+0</f>
        <v>-22307.18</v>
      </c>
      <c r="C33" s="150">
        <f t="shared" si="7"/>
        <v>-21263.429999999997</v>
      </c>
      <c r="D33" s="150">
        <f t="shared" si="7"/>
        <v>-22815.289999999997</v>
      </c>
      <c r="E33" s="150">
        <f t="shared" si="7"/>
        <v>-23167.15</v>
      </c>
      <c r="F33" s="150">
        <f t="shared" si="7"/>
        <v>-24119.01</v>
      </c>
      <c r="G33" s="150">
        <f t="shared" si="7"/>
        <v>-21913.429999999997</v>
      </c>
      <c r="H33" s="150">
        <f t="shared" si="7"/>
        <v>-24119.01</v>
      </c>
      <c r="I33" s="150">
        <f t="shared" si="7"/>
        <v>-23167.15</v>
      </c>
      <c r="J33" s="150">
        <f t="shared" si="7"/>
        <v>-22815.289999999997</v>
      </c>
      <c r="K33" s="150">
        <f t="shared" si="7"/>
        <v>-24119.01</v>
      </c>
      <c r="L33" s="150">
        <f t="shared" si="7"/>
        <v>-22215.289999999997</v>
      </c>
      <c r="M33" s="150">
        <f t="shared" si="7"/>
        <v>-26044.870000000003</v>
      </c>
      <c r="N33" s="150">
        <f t="shared" si="7"/>
        <v>-278066.11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35</vt:i4>
      </vt:variant>
      <vt:variant>
        <vt:lpstr>Named Ranges</vt:lpstr>
      </vt:variant>
      <vt:variant>
        <vt:i4>2</vt:i4>
      </vt:variant>
    </vt:vector>
  </HeadingPairs>
  <TitlesOfParts>
    <vt:vector size="37" baseType="lpstr">
      <vt:lpstr>PL</vt:lpstr>
      <vt:lpstr>INV</vt:lpstr>
      <vt:lpstr>CS PROP</vt:lpstr>
      <vt:lpstr>CAT PROP</vt:lpstr>
      <vt:lpstr>TAV</vt:lpstr>
      <vt:lpstr>CAT OUT</vt:lpstr>
      <vt:lpstr>PRES</vt:lpstr>
      <vt:lpstr>GC</vt:lpstr>
      <vt:lpstr>PEL</vt:lpstr>
      <vt:lpstr>ENV</vt:lpstr>
      <vt:lpstr>ISS</vt:lpstr>
      <vt:lpstr>ETHNO</vt:lpstr>
      <vt:lpstr>PSA</vt:lpstr>
      <vt:lpstr>PRIDE</vt:lpstr>
      <vt:lpstr>WOMENS</vt:lpstr>
      <vt:lpstr>MASA</vt:lpstr>
      <vt:lpstr>WASAC</vt:lpstr>
      <vt:lpstr>ALBANY</vt:lpstr>
      <vt:lpstr>WELLBEING</vt:lpstr>
      <vt:lpstr>RSD</vt:lpstr>
      <vt:lpstr>ACCESS</vt:lpstr>
      <vt:lpstr>PAC</vt:lpstr>
      <vt:lpstr>SOC</vt:lpstr>
      <vt:lpstr>EDU</vt:lpstr>
      <vt:lpstr>SPORTS</vt:lpstr>
      <vt:lpstr>STU INNOV</vt:lpstr>
      <vt:lpstr>SA</vt:lpstr>
      <vt:lpstr>EVENTS</vt:lpstr>
      <vt:lpstr>GSC</vt:lpstr>
      <vt:lpstr>MKTG</vt:lpstr>
      <vt:lpstr>CREATIVE</vt:lpstr>
      <vt:lpstr>VOL</vt:lpstr>
      <vt:lpstr>ADMIN</vt:lpstr>
      <vt:lpstr>FINANCE</vt:lpstr>
      <vt:lpstr>IT</vt:lpstr>
      <vt:lpstr>'CAT OUT'!Print_Area</vt:lpstr>
      <vt:lpstr>PL!Print_Area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Mutya Maraginot-Joseph</cp:lastModifiedBy>
  <cp:revision/>
  <dcterms:created xsi:type="dcterms:W3CDTF">2019-07-09T02:13:35Z</dcterms:created>
  <dcterms:modified xsi:type="dcterms:W3CDTF">2025-03-21T06:02:47Z</dcterms:modified>
  <cp:category/>
  <cp:contentStatus/>
</cp:coreProperties>
</file>